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ottamador/Documents/"/>
    </mc:Choice>
  </mc:AlternateContent>
  <xr:revisionPtr revIDLastSave="0" documentId="13_ncr:1_{ACCCBDCA-EC73-4145-8B12-2BBB67BFED4E}" xr6:coauthVersionLast="47" xr6:coauthVersionMax="47" xr10:uidLastSave="{00000000-0000-0000-0000-000000000000}"/>
  <bookViews>
    <workbookView xWindow="0" yWindow="0" windowWidth="28800" windowHeight="18000" activeTab="7" xr2:uid="{83996947-4590-C346-B0A8-3E930B88D1E7}"/>
  </bookViews>
  <sheets>
    <sheet name="Moderate Projections" sheetId="4" r:id="rId1"/>
    <sheet name="Summary" sheetId="6" r:id="rId2"/>
    <sheet name="Phase 1" sheetId="7" r:id="rId3"/>
    <sheet name="Phase 1 Summary" sheetId="8" r:id="rId4"/>
    <sheet name="# of Members" sheetId="5" r:id="rId5"/>
    <sheet name="Space" sheetId="2" r:id="rId6"/>
    <sheet name="Revenue" sheetId="1" r:id="rId7"/>
    <sheet name="Jambore Location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9" l="1"/>
  <c r="K27" i="9"/>
  <c r="K25" i="9"/>
  <c r="I29" i="9"/>
  <c r="I27" i="9"/>
  <c r="I25" i="9"/>
  <c r="H20" i="9"/>
  <c r="I20" i="9"/>
  <c r="I17" i="9"/>
  <c r="H17" i="9"/>
  <c r="R13" i="9"/>
  <c r="O13" i="9"/>
  <c r="O9" i="9"/>
  <c r="O10" i="9"/>
  <c r="O11" i="9"/>
  <c r="O12" i="9"/>
  <c r="L9" i="9"/>
  <c r="L10" i="9"/>
  <c r="L11" i="9"/>
  <c r="L12" i="9"/>
  <c r="I9" i="9"/>
  <c r="I10" i="9"/>
  <c r="I11" i="9"/>
  <c r="I12" i="9"/>
  <c r="I13" i="9"/>
  <c r="I14" i="9"/>
  <c r="O8" i="9"/>
  <c r="L8" i="9"/>
  <c r="I8" i="9"/>
  <c r="F9" i="9"/>
  <c r="F10" i="9"/>
  <c r="F11" i="9"/>
  <c r="F14" i="9"/>
  <c r="F8" i="9"/>
  <c r="R80" i="7"/>
  <c r="G79" i="7"/>
  <c r="H79" i="7"/>
  <c r="I79" i="7"/>
  <c r="J79" i="7"/>
  <c r="K79" i="7"/>
  <c r="L79" i="7"/>
  <c r="M79" i="7"/>
  <c r="N79" i="7"/>
  <c r="O79" i="7"/>
  <c r="P79" i="7"/>
  <c r="Q79" i="7"/>
  <c r="Q80" i="7" s="1"/>
  <c r="F79" i="7"/>
  <c r="L68" i="7"/>
  <c r="K59" i="7"/>
  <c r="L59" i="7"/>
  <c r="K61" i="7"/>
  <c r="R57" i="7"/>
  <c r="C46" i="7"/>
  <c r="H44" i="7"/>
  <c r="I44" i="7" s="1"/>
  <c r="J44" i="7" s="1"/>
  <c r="K44" i="7" s="1"/>
  <c r="L44" i="7" s="1"/>
  <c r="M44" i="7" s="1"/>
  <c r="N44" i="7" s="1"/>
  <c r="O44" i="7" s="1"/>
  <c r="P44" i="7" s="1"/>
  <c r="Q44" i="7" s="1"/>
  <c r="G44" i="7"/>
  <c r="F44" i="7"/>
  <c r="N12" i="7"/>
  <c r="O12" i="7"/>
  <c r="P12" i="7"/>
  <c r="Q12" i="7"/>
  <c r="M12" i="7"/>
  <c r="M32" i="7" s="1"/>
  <c r="N32" i="7"/>
  <c r="P118" i="7"/>
  <c r="P78" i="7"/>
  <c r="P77" i="7"/>
  <c r="P74" i="7"/>
  <c r="P73" i="7"/>
  <c r="P72" i="7"/>
  <c r="P70" i="7"/>
  <c r="P67" i="7"/>
  <c r="P59" i="7"/>
  <c r="P62" i="7" s="1"/>
  <c r="P56" i="7"/>
  <c r="P55" i="7"/>
  <c r="P54" i="7"/>
  <c r="P53" i="7"/>
  <c r="P57" i="7" s="1"/>
  <c r="P52" i="7"/>
  <c r="P45" i="7"/>
  <c r="P43" i="7"/>
  <c r="P38" i="7"/>
  <c r="P75" i="7" s="1"/>
  <c r="P19" i="7"/>
  <c r="P27" i="7" s="1"/>
  <c r="P17" i="7"/>
  <c r="P25" i="7" s="1"/>
  <c r="P15" i="7"/>
  <c r="P23" i="7" s="1"/>
  <c r="P8" i="7"/>
  <c r="N118" i="7"/>
  <c r="N78" i="7"/>
  <c r="N77" i="7"/>
  <c r="N74" i="7"/>
  <c r="N73" i="7"/>
  <c r="N72" i="7"/>
  <c r="N67" i="7"/>
  <c r="N70" i="7" s="1"/>
  <c r="N56" i="7"/>
  <c r="N55" i="7"/>
  <c r="N54" i="7"/>
  <c r="N53" i="7"/>
  <c r="N52" i="7"/>
  <c r="N45" i="7"/>
  <c r="N43" i="7"/>
  <c r="N38" i="7"/>
  <c r="N75" i="7" s="1"/>
  <c r="N19" i="7"/>
  <c r="N27" i="7" s="1"/>
  <c r="N17" i="7"/>
  <c r="N25" i="7" s="1"/>
  <c r="N15" i="7"/>
  <c r="N23" i="7" s="1"/>
  <c r="N8" i="7"/>
  <c r="O118" i="7"/>
  <c r="O78" i="7"/>
  <c r="O77" i="7"/>
  <c r="O74" i="7"/>
  <c r="O73" i="7"/>
  <c r="O72" i="7"/>
  <c r="O67" i="7"/>
  <c r="O70" i="7" s="1"/>
  <c r="O56" i="7"/>
  <c r="O55" i="7"/>
  <c r="O54" i="7"/>
  <c r="O53" i="7"/>
  <c r="O52" i="7"/>
  <c r="O45" i="7"/>
  <c r="O43" i="7"/>
  <c r="O38" i="7"/>
  <c r="O75" i="7" s="1"/>
  <c r="O19" i="7"/>
  <c r="O27" i="7" s="1"/>
  <c r="O17" i="7"/>
  <c r="O25" i="7" s="1"/>
  <c r="O15" i="7"/>
  <c r="O23" i="7" s="1"/>
  <c r="O8" i="7"/>
  <c r="K18" i="6"/>
  <c r="C31" i="8"/>
  <c r="C30" i="8"/>
  <c r="C29" i="8"/>
  <c r="B15" i="8"/>
  <c r="B14" i="8"/>
  <c r="B13" i="8"/>
  <c r="B11" i="8"/>
  <c r="B10" i="8"/>
  <c r="B9" i="8"/>
  <c r="B8" i="8"/>
  <c r="B7" i="8"/>
  <c r="C22" i="8"/>
  <c r="R99" i="7"/>
  <c r="R100" i="7"/>
  <c r="R101" i="7"/>
  <c r="R88" i="4"/>
  <c r="F57" i="7"/>
  <c r="G56" i="7"/>
  <c r="H56" i="7"/>
  <c r="H57" i="7" s="1"/>
  <c r="I56" i="7"/>
  <c r="I57" i="7" s="1"/>
  <c r="J56" i="7"/>
  <c r="J57" i="7" s="1"/>
  <c r="J46" i="7"/>
  <c r="K46" i="7"/>
  <c r="L46" i="7"/>
  <c r="M46" i="7"/>
  <c r="R37" i="7"/>
  <c r="R36" i="7"/>
  <c r="F120" i="7"/>
  <c r="Q118" i="7"/>
  <c r="M118" i="7"/>
  <c r="L118" i="7"/>
  <c r="K118" i="7"/>
  <c r="J118" i="7"/>
  <c r="I118" i="7"/>
  <c r="H118" i="7"/>
  <c r="G118" i="7"/>
  <c r="F118" i="7"/>
  <c r="R117" i="7"/>
  <c r="R116" i="7"/>
  <c r="R115" i="7"/>
  <c r="R114" i="7"/>
  <c r="F111" i="7"/>
  <c r="G111" i="7" s="1"/>
  <c r="H111" i="7" s="1"/>
  <c r="I111" i="7" s="1"/>
  <c r="J111" i="7" s="1"/>
  <c r="K111" i="7" s="1"/>
  <c r="L111" i="7" s="1"/>
  <c r="M111" i="7" s="1"/>
  <c r="Q111" i="7" s="1"/>
  <c r="F110" i="7"/>
  <c r="F98" i="7"/>
  <c r="F95" i="7"/>
  <c r="F91" i="7"/>
  <c r="G91" i="7" s="1"/>
  <c r="R83" i="7"/>
  <c r="Q78" i="7"/>
  <c r="M78" i="7"/>
  <c r="L78" i="7"/>
  <c r="K78" i="7"/>
  <c r="J78" i="7"/>
  <c r="I78" i="7"/>
  <c r="H78" i="7"/>
  <c r="G78" i="7"/>
  <c r="F78" i="7"/>
  <c r="Q77" i="7"/>
  <c r="M77" i="7"/>
  <c r="L77" i="7"/>
  <c r="K77" i="7"/>
  <c r="J77" i="7"/>
  <c r="I77" i="7"/>
  <c r="H77" i="7"/>
  <c r="G77" i="7"/>
  <c r="F77" i="7"/>
  <c r="Q74" i="7"/>
  <c r="M74" i="7"/>
  <c r="L74" i="7"/>
  <c r="K74" i="7"/>
  <c r="J74" i="7"/>
  <c r="I74" i="7"/>
  <c r="H74" i="7"/>
  <c r="G74" i="7"/>
  <c r="F74" i="7"/>
  <c r="Q73" i="7"/>
  <c r="M73" i="7"/>
  <c r="L73" i="7"/>
  <c r="K73" i="7"/>
  <c r="J73" i="7"/>
  <c r="I73" i="7"/>
  <c r="H73" i="7"/>
  <c r="G73" i="7"/>
  <c r="F73" i="7"/>
  <c r="Q72" i="7"/>
  <c r="M72" i="7"/>
  <c r="L72" i="7"/>
  <c r="K72" i="7"/>
  <c r="J72" i="7"/>
  <c r="I72" i="7"/>
  <c r="H72" i="7"/>
  <c r="G72" i="7"/>
  <c r="F72" i="7"/>
  <c r="L69" i="7"/>
  <c r="D68" i="7"/>
  <c r="K68" i="7" s="1"/>
  <c r="Q67" i="7"/>
  <c r="Q70" i="7" s="1"/>
  <c r="M67" i="7"/>
  <c r="M70" i="7" s="1"/>
  <c r="L67" i="7"/>
  <c r="K67" i="7"/>
  <c r="J67" i="7"/>
  <c r="I67" i="7"/>
  <c r="H67" i="7"/>
  <c r="G67" i="7"/>
  <c r="F67" i="7"/>
  <c r="R66" i="7"/>
  <c r="J62" i="7"/>
  <c r="I62" i="7"/>
  <c r="H62" i="7"/>
  <c r="G62" i="7"/>
  <c r="R60" i="7"/>
  <c r="D60" i="7"/>
  <c r="D59" i="7"/>
  <c r="K62" i="7" s="1"/>
  <c r="Q56" i="7"/>
  <c r="M56" i="7"/>
  <c r="L56" i="7"/>
  <c r="K56" i="7"/>
  <c r="Q55" i="7"/>
  <c r="M55" i="7"/>
  <c r="L55" i="7"/>
  <c r="K55" i="7"/>
  <c r="Q54" i="7"/>
  <c r="M54" i="7"/>
  <c r="L54" i="7"/>
  <c r="K54" i="7"/>
  <c r="Q53" i="7"/>
  <c r="M53" i="7"/>
  <c r="L53" i="7"/>
  <c r="K53" i="7"/>
  <c r="Q52" i="7"/>
  <c r="M52" i="7"/>
  <c r="L52" i="7"/>
  <c r="K52" i="7"/>
  <c r="I46" i="7"/>
  <c r="H46" i="7"/>
  <c r="G46" i="7"/>
  <c r="F46" i="7"/>
  <c r="Q45" i="7"/>
  <c r="M45" i="7"/>
  <c r="L45" i="7"/>
  <c r="K45" i="7"/>
  <c r="J45" i="7"/>
  <c r="I45" i="7"/>
  <c r="H45" i="7"/>
  <c r="G45" i="7"/>
  <c r="F45" i="7"/>
  <c r="Q43" i="7"/>
  <c r="M43" i="7"/>
  <c r="L43" i="7"/>
  <c r="K43" i="7"/>
  <c r="J43" i="7"/>
  <c r="I43" i="7"/>
  <c r="H43" i="7"/>
  <c r="G43" i="7"/>
  <c r="F43" i="7"/>
  <c r="Q38" i="7"/>
  <c r="Q76" i="7" s="1"/>
  <c r="M38" i="7"/>
  <c r="M61" i="7" s="1"/>
  <c r="L38" i="7"/>
  <c r="K38" i="7"/>
  <c r="K75" i="7" s="1"/>
  <c r="J38" i="7"/>
  <c r="I38" i="7"/>
  <c r="H38" i="7"/>
  <c r="H75" i="7" s="1"/>
  <c r="G38" i="7"/>
  <c r="G61" i="7" s="1"/>
  <c r="F38" i="7"/>
  <c r="F75" i="7" s="1"/>
  <c r="Q19" i="7"/>
  <c r="Q27" i="7" s="1"/>
  <c r="M19" i="7"/>
  <c r="M27" i="7" s="1"/>
  <c r="L19" i="7"/>
  <c r="L27" i="7" s="1"/>
  <c r="K19" i="7"/>
  <c r="K27" i="7" s="1"/>
  <c r="J19" i="7"/>
  <c r="J27" i="7" s="1"/>
  <c r="I19" i="7"/>
  <c r="I27" i="7" s="1"/>
  <c r="H19" i="7"/>
  <c r="H27" i="7" s="1"/>
  <c r="G19" i="7"/>
  <c r="G27" i="7" s="1"/>
  <c r="F19" i="7"/>
  <c r="F27" i="7" s="1"/>
  <c r="Q17" i="7"/>
  <c r="Q25" i="7" s="1"/>
  <c r="M17" i="7"/>
  <c r="M25" i="7" s="1"/>
  <c r="L17" i="7"/>
  <c r="L25" i="7" s="1"/>
  <c r="K17" i="7"/>
  <c r="K25" i="7" s="1"/>
  <c r="J17" i="7"/>
  <c r="J25" i="7" s="1"/>
  <c r="I17" i="7"/>
  <c r="I25" i="7" s="1"/>
  <c r="H17" i="7"/>
  <c r="H25" i="7" s="1"/>
  <c r="G17" i="7"/>
  <c r="F17" i="7"/>
  <c r="F25" i="7" s="1"/>
  <c r="Q15" i="7"/>
  <c r="Q23" i="7" s="1"/>
  <c r="M15" i="7"/>
  <c r="M23" i="7" s="1"/>
  <c r="L15" i="7"/>
  <c r="L23" i="7" s="1"/>
  <c r="K15" i="7"/>
  <c r="K23" i="7" s="1"/>
  <c r="J15" i="7"/>
  <c r="J23" i="7" s="1"/>
  <c r="I15" i="7"/>
  <c r="I23" i="7" s="1"/>
  <c r="H15" i="7"/>
  <c r="H23" i="7" s="1"/>
  <c r="G15" i="7"/>
  <c r="G23" i="7" s="1"/>
  <c r="F15" i="7"/>
  <c r="Q8" i="7"/>
  <c r="M8" i="7"/>
  <c r="L8" i="7"/>
  <c r="K8" i="7"/>
  <c r="J8" i="7"/>
  <c r="I8" i="7"/>
  <c r="H8" i="7"/>
  <c r="G8" i="7"/>
  <c r="F8" i="7"/>
  <c r="F9" i="7" s="1"/>
  <c r="R7" i="7"/>
  <c r="D29" i="6"/>
  <c r="C28" i="6"/>
  <c r="D27" i="6"/>
  <c r="D26" i="6"/>
  <c r="C25" i="6"/>
  <c r="C31" i="6" s="1"/>
  <c r="D23" i="6"/>
  <c r="D24" i="6"/>
  <c r="D22" i="6"/>
  <c r="R46" i="4"/>
  <c r="R43" i="4"/>
  <c r="AI12" i="4"/>
  <c r="R12" i="4"/>
  <c r="Q32" i="4"/>
  <c r="P32" i="4"/>
  <c r="O32" i="4"/>
  <c r="N32" i="4"/>
  <c r="M32" i="4"/>
  <c r="L32" i="4"/>
  <c r="K32" i="4"/>
  <c r="J32" i="4"/>
  <c r="I32" i="4"/>
  <c r="H32" i="4"/>
  <c r="G32" i="4"/>
  <c r="F32" i="4"/>
  <c r="R32" i="4" s="1"/>
  <c r="C6" i="6" s="1"/>
  <c r="R28" i="4"/>
  <c r="R26" i="4"/>
  <c r="R24" i="4"/>
  <c r="E17" i="6"/>
  <c r="E16" i="6"/>
  <c r="E15" i="6"/>
  <c r="E18" i="6" s="1"/>
  <c r="J18" i="6"/>
  <c r="F18" i="6"/>
  <c r="I17" i="6"/>
  <c r="I16" i="6"/>
  <c r="I15" i="6"/>
  <c r="H15" i="6"/>
  <c r="G17" i="6"/>
  <c r="H17" i="6" s="1"/>
  <c r="G16" i="6"/>
  <c r="H16" i="6" s="1"/>
  <c r="G15" i="6"/>
  <c r="C17" i="6"/>
  <c r="C16" i="6"/>
  <c r="C15" i="6"/>
  <c r="D17" i="6"/>
  <c r="D16" i="6"/>
  <c r="D15" i="6"/>
  <c r="D10" i="6"/>
  <c r="D9" i="6"/>
  <c r="D7" i="6"/>
  <c r="D6" i="6"/>
  <c r="AE15" i="4"/>
  <c r="AE23" i="4" s="1"/>
  <c r="AF15" i="4"/>
  <c r="AG15" i="4"/>
  <c r="AH15" i="4"/>
  <c r="AH23" i="4" s="1"/>
  <c r="AE16" i="4"/>
  <c r="AF16" i="4"/>
  <c r="AG16" i="4"/>
  <c r="AH16" i="4"/>
  <c r="D8" i="6"/>
  <c r="C8" i="6"/>
  <c r="X67" i="4"/>
  <c r="Y67" i="4"/>
  <c r="Z67" i="4"/>
  <c r="AA67" i="4"/>
  <c r="AB67" i="4"/>
  <c r="AB70" i="4" s="1"/>
  <c r="AC67" i="4"/>
  <c r="AD67" i="4"/>
  <c r="AE67" i="4"/>
  <c r="AF67" i="4"/>
  <c r="AG67" i="4"/>
  <c r="AH67" i="4"/>
  <c r="X68" i="4"/>
  <c r="Y68" i="4"/>
  <c r="Z68" i="4"/>
  <c r="AA68" i="4"/>
  <c r="AB68" i="4"/>
  <c r="AC68" i="4"/>
  <c r="AD68" i="4"/>
  <c r="AE68" i="4"/>
  <c r="AF68" i="4"/>
  <c r="AF70" i="4" s="1"/>
  <c r="AG68" i="4"/>
  <c r="AG70" i="4" s="1"/>
  <c r="AH68" i="4"/>
  <c r="X69" i="4"/>
  <c r="Y69" i="4"/>
  <c r="Z69" i="4"/>
  <c r="AA69" i="4"/>
  <c r="AB69" i="4"/>
  <c r="AC69" i="4"/>
  <c r="AD69" i="4"/>
  <c r="AE69" i="4"/>
  <c r="AE70" i="4" s="1"/>
  <c r="AF69" i="4"/>
  <c r="AG69" i="4"/>
  <c r="AH69" i="4"/>
  <c r="W69" i="4"/>
  <c r="W68" i="4"/>
  <c r="W67" i="4"/>
  <c r="AI67" i="4" s="1"/>
  <c r="Y15" i="4"/>
  <c r="Y23" i="4" s="1"/>
  <c r="Z15" i="4"/>
  <c r="Z23" i="4" s="1"/>
  <c r="AA15" i="4"/>
  <c r="AA23" i="4" s="1"/>
  <c r="AB15" i="4"/>
  <c r="AB23" i="4" s="1"/>
  <c r="AC15" i="4"/>
  <c r="AC23" i="4" s="1"/>
  <c r="AD15" i="4"/>
  <c r="AD23" i="4" s="1"/>
  <c r="AH24" i="4"/>
  <c r="Y17" i="4"/>
  <c r="Y25" i="4" s="1"/>
  <c r="Z17" i="4"/>
  <c r="Z25" i="4" s="1"/>
  <c r="AA17" i="4"/>
  <c r="AA25" i="4" s="1"/>
  <c r="AB17" i="4"/>
  <c r="AB25" i="4" s="1"/>
  <c r="AC17" i="4"/>
  <c r="AC25" i="4" s="1"/>
  <c r="AD17" i="4"/>
  <c r="AD25" i="4" s="1"/>
  <c r="AE17" i="4"/>
  <c r="AE25" i="4" s="1"/>
  <c r="AF17" i="4"/>
  <c r="AF25" i="4" s="1"/>
  <c r="AG17" i="4"/>
  <c r="AG25" i="4" s="1"/>
  <c r="AH17" i="4"/>
  <c r="AH25" i="4" s="1"/>
  <c r="Y19" i="4"/>
  <c r="Y27" i="4" s="1"/>
  <c r="Z19" i="4"/>
  <c r="Z27" i="4" s="1"/>
  <c r="AA19" i="4"/>
  <c r="AA27" i="4" s="1"/>
  <c r="AB19" i="4"/>
  <c r="AB27" i="4" s="1"/>
  <c r="AC19" i="4"/>
  <c r="AC27" i="4" s="1"/>
  <c r="AD19" i="4"/>
  <c r="AD27" i="4" s="1"/>
  <c r="AE19" i="4"/>
  <c r="AE27" i="4" s="1"/>
  <c r="AF19" i="4"/>
  <c r="AF27" i="4" s="1"/>
  <c r="AG19" i="4"/>
  <c r="AG27" i="4" s="1"/>
  <c r="AH19" i="4"/>
  <c r="AH27" i="4" s="1"/>
  <c r="X19" i="4"/>
  <c r="X27" i="4" s="1"/>
  <c r="W19" i="4"/>
  <c r="W27" i="4" s="1"/>
  <c r="X17" i="4"/>
  <c r="W17" i="4"/>
  <c r="W25" i="4" s="1"/>
  <c r="X15" i="4"/>
  <c r="X23" i="4" s="1"/>
  <c r="W15" i="4"/>
  <c r="W23" i="4" s="1"/>
  <c r="AE24" i="4"/>
  <c r="AF24" i="4"/>
  <c r="AF23" i="4"/>
  <c r="AG23" i="4"/>
  <c r="X12" i="4"/>
  <c r="Y12" i="4"/>
  <c r="Z12" i="4"/>
  <c r="AA12" i="4"/>
  <c r="AB12" i="4"/>
  <c r="AC12" i="4"/>
  <c r="AD12" i="4"/>
  <c r="AE12" i="4"/>
  <c r="AF12" i="4"/>
  <c r="AG12" i="4"/>
  <c r="AH12" i="4"/>
  <c r="W12" i="4"/>
  <c r="X46" i="4"/>
  <c r="Y46" i="4"/>
  <c r="Z46" i="4"/>
  <c r="W46" i="4"/>
  <c r="X52" i="4"/>
  <c r="Y52" i="4"/>
  <c r="Z52" i="4"/>
  <c r="AA52" i="4"/>
  <c r="AB52" i="4"/>
  <c r="AC52" i="4"/>
  <c r="AD52" i="4"/>
  <c r="AE52" i="4"/>
  <c r="AF52" i="4"/>
  <c r="AG52" i="4"/>
  <c r="AH52" i="4"/>
  <c r="X53" i="4"/>
  <c r="Y53" i="4"/>
  <c r="Z53" i="4"/>
  <c r="AA53" i="4"/>
  <c r="AB53" i="4"/>
  <c r="AC53" i="4"/>
  <c r="AD53" i="4"/>
  <c r="AE53" i="4"/>
  <c r="AF53" i="4"/>
  <c r="AG53" i="4"/>
  <c r="AH53" i="4"/>
  <c r="X54" i="4"/>
  <c r="Y54" i="4"/>
  <c r="Z54" i="4"/>
  <c r="AA54" i="4"/>
  <c r="AB54" i="4"/>
  <c r="AC54" i="4"/>
  <c r="AD54" i="4"/>
  <c r="AE54" i="4"/>
  <c r="AF54" i="4"/>
  <c r="AG54" i="4"/>
  <c r="AH54" i="4"/>
  <c r="X55" i="4"/>
  <c r="Y55" i="4"/>
  <c r="Z55" i="4"/>
  <c r="AA55" i="4"/>
  <c r="AB55" i="4"/>
  <c r="AC55" i="4"/>
  <c r="AD55" i="4"/>
  <c r="AE55" i="4"/>
  <c r="AF55" i="4"/>
  <c r="AG55" i="4"/>
  <c r="AH55" i="4"/>
  <c r="X56" i="4"/>
  <c r="Y56" i="4"/>
  <c r="Z56" i="4"/>
  <c r="AA56" i="4"/>
  <c r="AB56" i="4"/>
  <c r="AC56" i="4"/>
  <c r="AD56" i="4"/>
  <c r="AE56" i="4"/>
  <c r="AF56" i="4"/>
  <c r="AG56" i="4"/>
  <c r="AH56" i="4"/>
  <c r="W56" i="4"/>
  <c r="W55" i="4"/>
  <c r="W54" i="4"/>
  <c r="W53" i="4"/>
  <c r="W52" i="4"/>
  <c r="X59" i="4"/>
  <c r="Y59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AI117" i="4"/>
  <c r="AI116" i="4"/>
  <c r="AI115" i="4"/>
  <c r="AI114" i="4"/>
  <c r="W111" i="4"/>
  <c r="X111" i="4" s="1"/>
  <c r="Y111" i="4" s="1"/>
  <c r="Z111" i="4" s="1"/>
  <c r="AA111" i="4" s="1"/>
  <c r="AB111" i="4" s="1"/>
  <c r="AC111" i="4" s="1"/>
  <c r="AD111" i="4" s="1"/>
  <c r="AE111" i="4" s="1"/>
  <c r="AF111" i="4" s="1"/>
  <c r="AG111" i="4" s="1"/>
  <c r="AH111" i="4" s="1"/>
  <c r="W110" i="4"/>
  <c r="W112" i="4" s="1"/>
  <c r="W98" i="4"/>
  <c r="X98" i="4" s="1"/>
  <c r="AI83" i="4"/>
  <c r="AH78" i="4"/>
  <c r="AG78" i="4"/>
  <c r="AF78" i="4"/>
  <c r="AE78" i="4"/>
  <c r="AD78" i="4"/>
  <c r="AC78" i="4"/>
  <c r="AB78" i="4"/>
  <c r="AA78" i="4"/>
  <c r="Z78" i="4"/>
  <c r="Y78" i="4"/>
  <c r="X78" i="4"/>
  <c r="W78" i="4"/>
  <c r="AH77" i="4"/>
  <c r="AG77" i="4"/>
  <c r="AF77" i="4"/>
  <c r="AE77" i="4"/>
  <c r="AD77" i="4"/>
  <c r="AC77" i="4"/>
  <c r="AB77" i="4"/>
  <c r="AA77" i="4"/>
  <c r="Z77" i="4"/>
  <c r="Y77" i="4"/>
  <c r="X77" i="4"/>
  <c r="W77" i="4"/>
  <c r="W75" i="4"/>
  <c r="AH74" i="4"/>
  <c r="AG74" i="4"/>
  <c r="AF74" i="4"/>
  <c r="AE74" i="4"/>
  <c r="AD74" i="4"/>
  <c r="AC74" i="4"/>
  <c r="AB74" i="4"/>
  <c r="AA74" i="4"/>
  <c r="Z74" i="4"/>
  <c r="Y74" i="4"/>
  <c r="X74" i="4"/>
  <c r="W74" i="4"/>
  <c r="AH73" i="4"/>
  <c r="AG73" i="4"/>
  <c r="AF73" i="4"/>
  <c r="AE73" i="4"/>
  <c r="AD73" i="4"/>
  <c r="AC73" i="4"/>
  <c r="AB73" i="4"/>
  <c r="AA73" i="4"/>
  <c r="Z73" i="4"/>
  <c r="Y73" i="4"/>
  <c r="X73" i="4"/>
  <c r="W73" i="4"/>
  <c r="AH72" i="4"/>
  <c r="AG72" i="4"/>
  <c r="AF72" i="4"/>
  <c r="AE72" i="4"/>
  <c r="AD72" i="4"/>
  <c r="AC72" i="4"/>
  <c r="AB72" i="4"/>
  <c r="AA72" i="4"/>
  <c r="Z72" i="4"/>
  <c r="Y72" i="4"/>
  <c r="X72" i="4"/>
  <c r="W72" i="4"/>
  <c r="X70" i="4"/>
  <c r="Z70" i="4"/>
  <c r="AI66" i="4"/>
  <c r="U60" i="4"/>
  <c r="AE60" i="4" s="1"/>
  <c r="U59" i="4"/>
  <c r="Z59" i="4" s="1"/>
  <c r="AH45" i="4"/>
  <c r="AG45" i="4"/>
  <c r="AF45" i="4"/>
  <c r="AE45" i="4"/>
  <c r="AD45" i="4"/>
  <c r="AC45" i="4"/>
  <c r="AB45" i="4"/>
  <c r="AA45" i="4"/>
  <c r="Z45" i="4"/>
  <c r="Y45" i="4"/>
  <c r="X45" i="4"/>
  <c r="W45" i="4"/>
  <c r="AH44" i="4"/>
  <c r="AG44" i="4"/>
  <c r="AF44" i="4"/>
  <c r="AE44" i="4"/>
  <c r="AD44" i="4"/>
  <c r="AC44" i="4"/>
  <c r="AB44" i="4"/>
  <c r="AA44" i="4"/>
  <c r="Z44" i="4"/>
  <c r="Y44" i="4"/>
  <c r="X44" i="4"/>
  <c r="W44" i="4"/>
  <c r="AH43" i="4"/>
  <c r="AG43" i="4"/>
  <c r="AF43" i="4"/>
  <c r="AE43" i="4"/>
  <c r="AD43" i="4"/>
  <c r="AC43" i="4"/>
  <c r="AB43" i="4"/>
  <c r="AA43" i="4"/>
  <c r="Z43" i="4"/>
  <c r="Y43" i="4"/>
  <c r="X43" i="4"/>
  <c r="W43" i="4"/>
  <c r="AH38" i="4"/>
  <c r="AH63" i="4" s="1"/>
  <c r="AG38" i="4"/>
  <c r="AG76" i="4" s="1"/>
  <c r="AF38" i="4"/>
  <c r="AF76" i="4" s="1"/>
  <c r="AE38" i="4"/>
  <c r="AE61" i="4" s="1"/>
  <c r="AD38" i="4"/>
  <c r="AD63" i="4" s="1"/>
  <c r="AC38" i="4"/>
  <c r="AC75" i="4" s="1"/>
  <c r="AB38" i="4"/>
  <c r="AB76" i="4" s="1"/>
  <c r="AA38" i="4"/>
  <c r="AA75" i="4" s="1"/>
  <c r="Z38" i="4"/>
  <c r="Z61" i="4" s="1"/>
  <c r="Y38" i="4"/>
  <c r="Y76" i="4" s="1"/>
  <c r="X38" i="4"/>
  <c r="X76" i="4" s="1"/>
  <c r="W38" i="4"/>
  <c r="W76" i="4" s="1"/>
  <c r="AI37" i="4"/>
  <c r="AI36" i="4"/>
  <c r="AH8" i="4"/>
  <c r="AG8" i="4"/>
  <c r="AF8" i="4"/>
  <c r="AE8" i="4"/>
  <c r="AD8" i="4"/>
  <c r="AC8" i="4"/>
  <c r="AB8" i="4"/>
  <c r="AA8" i="4"/>
  <c r="Z8" i="4"/>
  <c r="Y8" i="4"/>
  <c r="X8" i="4"/>
  <c r="W8" i="4"/>
  <c r="AI7" i="4"/>
  <c r="D69" i="4"/>
  <c r="H69" i="4" s="1"/>
  <c r="D68" i="4"/>
  <c r="L68" i="4" s="1"/>
  <c r="L67" i="4"/>
  <c r="K56" i="4"/>
  <c r="L56" i="4"/>
  <c r="M56" i="4"/>
  <c r="N56" i="4"/>
  <c r="O56" i="4"/>
  <c r="P56" i="4"/>
  <c r="Q56" i="4"/>
  <c r="G46" i="4"/>
  <c r="H46" i="4"/>
  <c r="I46" i="4"/>
  <c r="F46" i="4"/>
  <c r="G45" i="4"/>
  <c r="H45" i="4"/>
  <c r="I45" i="4"/>
  <c r="J45" i="4"/>
  <c r="K45" i="4"/>
  <c r="L45" i="4"/>
  <c r="M45" i="4"/>
  <c r="N45" i="4"/>
  <c r="O45" i="4"/>
  <c r="P45" i="4"/>
  <c r="Q45" i="4"/>
  <c r="F45" i="4"/>
  <c r="G44" i="4"/>
  <c r="H44" i="4"/>
  <c r="I44" i="4"/>
  <c r="J44" i="4"/>
  <c r="K44" i="4"/>
  <c r="L44" i="4"/>
  <c r="M44" i="4"/>
  <c r="N44" i="4"/>
  <c r="O44" i="4"/>
  <c r="P44" i="4"/>
  <c r="Q44" i="4"/>
  <c r="F44" i="4"/>
  <c r="G43" i="4"/>
  <c r="H43" i="4"/>
  <c r="I43" i="4"/>
  <c r="J43" i="4"/>
  <c r="K43" i="4"/>
  <c r="L43" i="4"/>
  <c r="M43" i="4"/>
  <c r="N43" i="4"/>
  <c r="O43" i="4"/>
  <c r="P43" i="4"/>
  <c r="Q43" i="4"/>
  <c r="F43" i="4"/>
  <c r="G72" i="4"/>
  <c r="H72" i="4"/>
  <c r="I72" i="4"/>
  <c r="J72" i="4"/>
  <c r="K72" i="4"/>
  <c r="L72" i="4"/>
  <c r="M72" i="4"/>
  <c r="N72" i="4"/>
  <c r="O72" i="4"/>
  <c r="P72" i="4"/>
  <c r="Q72" i="4"/>
  <c r="F72" i="4"/>
  <c r="G73" i="4"/>
  <c r="H73" i="4"/>
  <c r="I73" i="4"/>
  <c r="J73" i="4"/>
  <c r="K73" i="4"/>
  <c r="L73" i="4"/>
  <c r="M73" i="4"/>
  <c r="N73" i="4"/>
  <c r="O73" i="4"/>
  <c r="P73" i="4"/>
  <c r="Q73" i="4"/>
  <c r="F73" i="4"/>
  <c r="G78" i="4"/>
  <c r="H78" i="4"/>
  <c r="I78" i="4"/>
  <c r="J78" i="4"/>
  <c r="K78" i="4"/>
  <c r="L78" i="4"/>
  <c r="M78" i="4"/>
  <c r="N78" i="4"/>
  <c r="O78" i="4"/>
  <c r="P78" i="4"/>
  <c r="Q78" i="4"/>
  <c r="F78" i="4"/>
  <c r="J12" i="4"/>
  <c r="K12" i="4"/>
  <c r="L12" i="4"/>
  <c r="M12" i="4"/>
  <c r="N12" i="4"/>
  <c r="O12" i="4"/>
  <c r="P12" i="4"/>
  <c r="Q12" i="4"/>
  <c r="P19" i="4"/>
  <c r="P27" i="4" s="1"/>
  <c r="Q19" i="4"/>
  <c r="Q27" i="4" s="1"/>
  <c r="P15" i="4"/>
  <c r="P23" i="4" s="1"/>
  <c r="Q15" i="4"/>
  <c r="Q23" i="4" s="1"/>
  <c r="I23" i="5"/>
  <c r="I22" i="5"/>
  <c r="I20" i="5"/>
  <c r="I19" i="5"/>
  <c r="I17" i="5"/>
  <c r="I16" i="5"/>
  <c r="I14" i="5"/>
  <c r="I13" i="5"/>
  <c r="I11" i="5"/>
  <c r="I10" i="5"/>
  <c r="I8" i="5"/>
  <c r="I7" i="5"/>
  <c r="I5" i="5"/>
  <c r="I4" i="5"/>
  <c r="I3" i="5"/>
  <c r="H3" i="5"/>
  <c r="C23" i="5"/>
  <c r="C22" i="5"/>
  <c r="C20" i="5"/>
  <c r="C19" i="5"/>
  <c r="C17" i="5"/>
  <c r="C16" i="5"/>
  <c r="C14" i="5"/>
  <c r="C13" i="5"/>
  <c r="C11" i="5"/>
  <c r="C10" i="5"/>
  <c r="C8" i="5"/>
  <c r="C7" i="5"/>
  <c r="C5" i="5"/>
  <c r="C4" i="5"/>
  <c r="C21" i="5"/>
  <c r="C18" i="5"/>
  <c r="C3" i="5"/>
  <c r="C6" i="5"/>
  <c r="I6" i="5" s="1"/>
  <c r="C9" i="5"/>
  <c r="C12" i="5"/>
  <c r="C15" i="5"/>
  <c r="I21" i="5"/>
  <c r="I18" i="5"/>
  <c r="I15" i="5"/>
  <c r="I12" i="5"/>
  <c r="I9" i="5"/>
  <c r="H21" i="5"/>
  <c r="H18" i="5"/>
  <c r="H15" i="5"/>
  <c r="H12" i="5"/>
  <c r="H9" i="5"/>
  <c r="H6" i="5"/>
  <c r="E21" i="5"/>
  <c r="E18" i="5"/>
  <c r="E15" i="5"/>
  <c r="E12" i="5"/>
  <c r="E9" i="5"/>
  <c r="E6" i="5"/>
  <c r="E3" i="5"/>
  <c r="G19" i="4"/>
  <c r="G27" i="4" s="1"/>
  <c r="H19" i="4"/>
  <c r="H27" i="4" s="1"/>
  <c r="I19" i="4"/>
  <c r="I27" i="4" s="1"/>
  <c r="J19" i="4"/>
  <c r="J27" i="4" s="1"/>
  <c r="K19" i="4"/>
  <c r="K27" i="4" s="1"/>
  <c r="L19" i="4"/>
  <c r="L27" i="4" s="1"/>
  <c r="M19" i="4"/>
  <c r="M27" i="4" s="1"/>
  <c r="N19" i="4"/>
  <c r="N27" i="4" s="1"/>
  <c r="O19" i="4"/>
  <c r="O27" i="4" s="1"/>
  <c r="F19" i="4"/>
  <c r="F27" i="4" s="1"/>
  <c r="G17" i="4"/>
  <c r="G25" i="4" s="1"/>
  <c r="H17" i="4"/>
  <c r="H25" i="4" s="1"/>
  <c r="I17" i="4"/>
  <c r="I25" i="4" s="1"/>
  <c r="J17" i="4"/>
  <c r="J25" i="4" s="1"/>
  <c r="K17" i="4"/>
  <c r="K25" i="4" s="1"/>
  <c r="L17" i="4"/>
  <c r="L25" i="4" s="1"/>
  <c r="M17" i="4"/>
  <c r="M25" i="4" s="1"/>
  <c r="N17" i="4"/>
  <c r="N25" i="4" s="1"/>
  <c r="O17" i="4"/>
  <c r="O25" i="4" s="1"/>
  <c r="P17" i="4"/>
  <c r="P25" i="4" s="1"/>
  <c r="Q17" i="4"/>
  <c r="Q25" i="4" s="1"/>
  <c r="F17" i="4"/>
  <c r="F25" i="4" s="1"/>
  <c r="G15" i="4"/>
  <c r="G23" i="4" s="1"/>
  <c r="H15" i="4"/>
  <c r="H23" i="4" s="1"/>
  <c r="I15" i="4"/>
  <c r="I23" i="4" s="1"/>
  <c r="J15" i="4"/>
  <c r="J23" i="4" s="1"/>
  <c r="K15" i="4"/>
  <c r="K23" i="4" s="1"/>
  <c r="L15" i="4"/>
  <c r="L23" i="4" s="1"/>
  <c r="M15" i="4"/>
  <c r="M23" i="4" s="1"/>
  <c r="N15" i="4"/>
  <c r="N23" i="4" s="1"/>
  <c r="O15" i="4"/>
  <c r="O23" i="4" s="1"/>
  <c r="F15" i="4"/>
  <c r="F23" i="4" s="1"/>
  <c r="G8" i="4"/>
  <c r="H8" i="4"/>
  <c r="I8" i="4"/>
  <c r="J8" i="4"/>
  <c r="K8" i="4"/>
  <c r="L8" i="4"/>
  <c r="M8" i="4"/>
  <c r="N8" i="4"/>
  <c r="O8" i="4"/>
  <c r="P8" i="4"/>
  <c r="Q8" i="4"/>
  <c r="F8" i="4"/>
  <c r="F9" i="4" s="1"/>
  <c r="F120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R117" i="4"/>
  <c r="R116" i="4"/>
  <c r="R115" i="4"/>
  <c r="R114" i="4"/>
  <c r="F111" i="4"/>
  <c r="F110" i="4"/>
  <c r="G110" i="4" s="1"/>
  <c r="H110" i="4" s="1"/>
  <c r="F98" i="4"/>
  <c r="F95" i="4"/>
  <c r="G95" i="4" s="1"/>
  <c r="H95" i="4" s="1"/>
  <c r="I95" i="4" s="1"/>
  <c r="J95" i="4" s="1"/>
  <c r="K95" i="4" s="1"/>
  <c r="L95" i="4" s="1"/>
  <c r="M95" i="4" s="1"/>
  <c r="N95" i="4" s="1"/>
  <c r="O95" i="4" s="1"/>
  <c r="P95" i="4" s="1"/>
  <c r="Q95" i="4" s="1"/>
  <c r="R95" i="4" s="1"/>
  <c r="F91" i="4"/>
  <c r="G91" i="4" s="1"/>
  <c r="R83" i="4"/>
  <c r="Q77" i="4"/>
  <c r="P77" i="4"/>
  <c r="O77" i="4"/>
  <c r="N77" i="4"/>
  <c r="M77" i="4"/>
  <c r="L77" i="4"/>
  <c r="K77" i="4"/>
  <c r="J77" i="4"/>
  <c r="I77" i="4"/>
  <c r="H77" i="4"/>
  <c r="G77" i="4"/>
  <c r="F77" i="4"/>
  <c r="Q74" i="4"/>
  <c r="P74" i="4"/>
  <c r="O74" i="4"/>
  <c r="N74" i="4"/>
  <c r="M74" i="4"/>
  <c r="L74" i="4"/>
  <c r="K74" i="4"/>
  <c r="J74" i="4"/>
  <c r="I74" i="4"/>
  <c r="H74" i="4"/>
  <c r="G74" i="4"/>
  <c r="F74" i="4"/>
  <c r="Q67" i="4"/>
  <c r="Q70" i="4" s="1"/>
  <c r="P67" i="4"/>
  <c r="P70" i="4" s="1"/>
  <c r="O67" i="4"/>
  <c r="O70" i="4" s="1"/>
  <c r="N67" i="4"/>
  <c r="N70" i="4" s="1"/>
  <c r="M67" i="4"/>
  <c r="M70" i="4" s="1"/>
  <c r="K67" i="4"/>
  <c r="J67" i="4"/>
  <c r="I67" i="4"/>
  <c r="H67" i="4"/>
  <c r="G67" i="4"/>
  <c r="F67" i="4"/>
  <c r="R66" i="4"/>
  <c r="D60" i="4"/>
  <c r="D59" i="4"/>
  <c r="M59" i="4" s="1"/>
  <c r="M62" i="4" s="1"/>
  <c r="J57" i="4"/>
  <c r="I57" i="4"/>
  <c r="H57" i="4"/>
  <c r="G57" i="4"/>
  <c r="F57" i="4"/>
  <c r="Q55" i="4"/>
  <c r="P55" i="4"/>
  <c r="O55" i="4"/>
  <c r="N55" i="4"/>
  <c r="M55" i="4"/>
  <c r="L55" i="4"/>
  <c r="K55" i="4"/>
  <c r="Q54" i="4"/>
  <c r="P54" i="4"/>
  <c r="O54" i="4"/>
  <c r="N54" i="4"/>
  <c r="M54" i="4"/>
  <c r="L54" i="4"/>
  <c r="K54" i="4"/>
  <c r="Q53" i="4"/>
  <c r="P53" i="4"/>
  <c r="O53" i="4"/>
  <c r="N53" i="4"/>
  <c r="M53" i="4"/>
  <c r="L53" i="4"/>
  <c r="K53" i="4"/>
  <c r="Q52" i="4"/>
  <c r="P52" i="4"/>
  <c r="O52" i="4"/>
  <c r="O57" i="4" s="1"/>
  <c r="N52" i="4"/>
  <c r="M52" i="4"/>
  <c r="L52" i="4"/>
  <c r="K52" i="4"/>
  <c r="Q38" i="4"/>
  <c r="P38" i="4"/>
  <c r="O38" i="4"/>
  <c r="N38" i="4"/>
  <c r="M38" i="4"/>
  <c r="L38" i="4"/>
  <c r="K38" i="4"/>
  <c r="J38" i="4"/>
  <c r="I38" i="4"/>
  <c r="H38" i="4"/>
  <c r="G38" i="4"/>
  <c r="G76" i="4" s="1"/>
  <c r="F38" i="4"/>
  <c r="R37" i="4"/>
  <c r="R36" i="4"/>
  <c r="R7" i="4"/>
  <c r="P63" i="7" l="1"/>
  <c r="P76" i="7"/>
  <c r="P111" i="7"/>
  <c r="P61" i="7"/>
  <c r="P64" i="7" s="1"/>
  <c r="P80" i="7" s="1"/>
  <c r="P94" i="7" s="1"/>
  <c r="N57" i="7"/>
  <c r="O57" i="7"/>
  <c r="N63" i="7"/>
  <c r="N76" i="7"/>
  <c r="N111" i="7"/>
  <c r="O111" i="7"/>
  <c r="N59" i="7"/>
  <c r="G9" i="7"/>
  <c r="N61" i="7"/>
  <c r="O63" i="7"/>
  <c r="O76" i="7"/>
  <c r="F76" i="7"/>
  <c r="R38" i="7"/>
  <c r="O59" i="7"/>
  <c r="O61" i="7"/>
  <c r="R56" i="7"/>
  <c r="C9" i="8" s="1"/>
  <c r="G57" i="7"/>
  <c r="K57" i="7"/>
  <c r="R46" i="7"/>
  <c r="C7" i="8" s="1"/>
  <c r="Q63" i="7"/>
  <c r="R53" i="7"/>
  <c r="J68" i="7"/>
  <c r="G76" i="7"/>
  <c r="F112" i="7"/>
  <c r="R17" i="7"/>
  <c r="D30" i="8" s="1"/>
  <c r="R52" i="7"/>
  <c r="L70" i="7"/>
  <c r="R12" i="7"/>
  <c r="F32" i="8" s="1"/>
  <c r="R15" i="7"/>
  <c r="D29" i="8" s="1"/>
  <c r="M57" i="7"/>
  <c r="F59" i="7"/>
  <c r="F62" i="7" s="1"/>
  <c r="R78" i="7"/>
  <c r="R45" i="7"/>
  <c r="F69" i="7"/>
  <c r="L57" i="7"/>
  <c r="G110" i="7"/>
  <c r="H110" i="7" s="1"/>
  <c r="I110" i="7" s="1"/>
  <c r="J110" i="7" s="1"/>
  <c r="J112" i="7" s="1"/>
  <c r="M63" i="7"/>
  <c r="G69" i="7"/>
  <c r="G70" i="7" s="1"/>
  <c r="G64" i="7"/>
  <c r="G75" i="7"/>
  <c r="R77" i="7"/>
  <c r="C14" i="8" s="1"/>
  <c r="R8" i="7"/>
  <c r="R55" i="7"/>
  <c r="Q61" i="7"/>
  <c r="I68" i="7"/>
  <c r="G25" i="7"/>
  <c r="H76" i="7"/>
  <c r="H61" i="7"/>
  <c r="H64" i="7" s="1"/>
  <c r="R43" i="7"/>
  <c r="R44" i="7"/>
  <c r="C8" i="8" s="1"/>
  <c r="I76" i="7"/>
  <c r="I61" i="7"/>
  <c r="I64" i="7" s="1"/>
  <c r="I69" i="7"/>
  <c r="K69" i="7"/>
  <c r="K70" i="7" s="1"/>
  <c r="J69" i="7"/>
  <c r="H69" i="7"/>
  <c r="R19" i="7"/>
  <c r="D31" i="8" s="1"/>
  <c r="J76" i="7"/>
  <c r="J75" i="7"/>
  <c r="Q59" i="7"/>
  <c r="M59" i="7"/>
  <c r="J61" i="7"/>
  <c r="J64" i="7" s="1"/>
  <c r="G95" i="7"/>
  <c r="H95" i="7" s="1"/>
  <c r="I95" i="7" s="1"/>
  <c r="J95" i="7" s="1"/>
  <c r="K95" i="7" s="1"/>
  <c r="F107" i="7"/>
  <c r="K64" i="7"/>
  <c r="F23" i="7"/>
  <c r="L75" i="7"/>
  <c r="L76" i="7"/>
  <c r="L61" i="7"/>
  <c r="R73" i="7"/>
  <c r="F31" i="7"/>
  <c r="R67" i="7"/>
  <c r="C11" i="8" s="1"/>
  <c r="R74" i="7"/>
  <c r="C13" i="8" s="1"/>
  <c r="I75" i="7"/>
  <c r="R54" i="7"/>
  <c r="K76" i="7"/>
  <c r="R72" i="7"/>
  <c r="M75" i="7"/>
  <c r="Q75" i="7"/>
  <c r="M76" i="7"/>
  <c r="Q57" i="7"/>
  <c r="H68" i="7"/>
  <c r="G98" i="7"/>
  <c r="H91" i="7"/>
  <c r="D31" i="6"/>
  <c r="H18" i="6"/>
  <c r="G18" i="6"/>
  <c r="I18" i="6"/>
  <c r="D18" i="6"/>
  <c r="AD57" i="4"/>
  <c r="W57" i="4"/>
  <c r="AH70" i="4"/>
  <c r="Q57" i="4"/>
  <c r="X110" i="4"/>
  <c r="Y110" i="4" s="1"/>
  <c r="Z110" i="4" s="1"/>
  <c r="Z112" i="4" s="1"/>
  <c r="AG57" i="4"/>
  <c r="N57" i="4"/>
  <c r="W59" i="4"/>
  <c r="AI17" i="4"/>
  <c r="AG59" i="4"/>
  <c r="AA60" i="4"/>
  <c r="AE57" i="4"/>
  <c r="AC57" i="4"/>
  <c r="AC70" i="4"/>
  <c r="P57" i="4"/>
  <c r="W60" i="4"/>
  <c r="Z60" i="4"/>
  <c r="AB57" i="4"/>
  <c r="AI15" i="4"/>
  <c r="AH60" i="4"/>
  <c r="Y60" i="4"/>
  <c r="Y62" i="4" s="1"/>
  <c r="AA57" i="4"/>
  <c r="AI68" i="4"/>
  <c r="K57" i="4"/>
  <c r="G69" i="4"/>
  <c r="L57" i="4"/>
  <c r="M57" i="4"/>
  <c r="Z62" i="4"/>
  <c r="Z64" i="4" s="1"/>
  <c r="AG60" i="4"/>
  <c r="AG62" i="4" s="1"/>
  <c r="AG64" i="4" s="1"/>
  <c r="X60" i="4"/>
  <c r="X62" i="4" s="1"/>
  <c r="AH57" i="4"/>
  <c r="Z57" i="4"/>
  <c r="AF60" i="4"/>
  <c r="Y57" i="4"/>
  <c r="AC61" i="4"/>
  <c r="AD60" i="4"/>
  <c r="AD62" i="4" s="1"/>
  <c r="AD64" i="4" s="1"/>
  <c r="AF59" i="4"/>
  <c r="AF62" i="4" s="1"/>
  <c r="AF57" i="4"/>
  <c r="X57" i="4"/>
  <c r="AG61" i="4"/>
  <c r="AC60" i="4"/>
  <c r="AE59" i="4"/>
  <c r="AE62" i="4" s="1"/>
  <c r="AE64" i="4" s="1"/>
  <c r="X112" i="4"/>
  <c r="AB60" i="4"/>
  <c r="AD59" i="4"/>
  <c r="AA70" i="4"/>
  <c r="AD70" i="4"/>
  <c r="F68" i="4"/>
  <c r="AI45" i="4"/>
  <c r="W79" i="4"/>
  <c r="F69" i="4"/>
  <c r="AI19" i="4"/>
  <c r="J68" i="4"/>
  <c r="L69" i="4"/>
  <c r="L70" i="4" s="1"/>
  <c r="AH61" i="4"/>
  <c r="X25" i="4"/>
  <c r="I68" i="4"/>
  <c r="I70" i="4" s="1"/>
  <c r="K69" i="4"/>
  <c r="AC59" i="4"/>
  <c r="K68" i="4"/>
  <c r="AB59" i="4"/>
  <c r="J69" i="4"/>
  <c r="AI72" i="4"/>
  <c r="G68" i="4"/>
  <c r="G70" i="4" s="1"/>
  <c r="I69" i="4"/>
  <c r="AI8" i="4"/>
  <c r="AE63" i="4"/>
  <c r="AA59" i="4"/>
  <c r="H68" i="4"/>
  <c r="H70" i="4" s="1"/>
  <c r="AI73" i="4"/>
  <c r="AG63" i="4"/>
  <c r="AI78" i="4"/>
  <c r="AH59" i="4"/>
  <c r="AH62" i="4" s="1"/>
  <c r="AG24" i="4"/>
  <c r="AF75" i="4"/>
  <c r="AF79" i="4" s="1"/>
  <c r="AG75" i="4"/>
  <c r="AG79" i="4" s="1"/>
  <c r="AF63" i="4"/>
  <c r="AE76" i="4"/>
  <c r="X61" i="4"/>
  <c r="AF61" i="4"/>
  <c r="AB75" i="4"/>
  <c r="AB79" i="4" s="1"/>
  <c r="AA76" i="4"/>
  <c r="AA79" i="4" s="1"/>
  <c r="X75" i="4"/>
  <c r="X79" i="4" s="1"/>
  <c r="Y75" i="4"/>
  <c r="Y79" i="4" s="1"/>
  <c r="Y61" i="4"/>
  <c r="AA61" i="4"/>
  <c r="AI55" i="4"/>
  <c r="AI69" i="4"/>
  <c r="AD76" i="4"/>
  <c r="AI44" i="4"/>
  <c r="AI54" i="4"/>
  <c r="AB61" i="4"/>
  <c r="W70" i="4"/>
  <c r="AH75" i="4"/>
  <c r="AH79" i="4" s="1"/>
  <c r="Y112" i="4"/>
  <c r="AI38" i="4"/>
  <c r="AI53" i="4"/>
  <c r="AH76" i="4"/>
  <c r="AI52" i="4"/>
  <c r="Z75" i="4"/>
  <c r="Y70" i="4"/>
  <c r="AI74" i="4"/>
  <c r="Z76" i="4"/>
  <c r="AI77" i="4"/>
  <c r="AD75" i="4"/>
  <c r="AD79" i="4" s="1"/>
  <c r="AD61" i="4"/>
  <c r="AE75" i="4"/>
  <c r="AC76" i="4"/>
  <c r="AC79" i="4" s="1"/>
  <c r="Y98" i="4"/>
  <c r="R45" i="4"/>
  <c r="R44" i="4"/>
  <c r="Q59" i="4"/>
  <c r="O59" i="4"/>
  <c r="L59" i="4"/>
  <c r="K59" i="4"/>
  <c r="P59" i="4"/>
  <c r="N59" i="4"/>
  <c r="F41" i="4"/>
  <c r="F31" i="4"/>
  <c r="R15" i="4"/>
  <c r="R17" i="4"/>
  <c r="R19" i="4"/>
  <c r="G9" i="4"/>
  <c r="R74" i="4"/>
  <c r="K61" i="4"/>
  <c r="F59" i="4"/>
  <c r="L61" i="4"/>
  <c r="R77" i="4"/>
  <c r="R54" i="4"/>
  <c r="F112" i="4"/>
  <c r="R38" i="4"/>
  <c r="R52" i="4"/>
  <c r="R53" i="4"/>
  <c r="J75" i="4"/>
  <c r="J61" i="4"/>
  <c r="J76" i="4"/>
  <c r="M75" i="4"/>
  <c r="M61" i="4"/>
  <c r="M76" i="4"/>
  <c r="M63" i="4"/>
  <c r="F76" i="4"/>
  <c r="F75" i="4"/>
  <c r="N61" i="4"/>
  <c r="N75" i="4"/>
  <c r="N76" i="4"/>
  <c r="N63" i="4"/>
  <c r="R67" i="4"/>
  <c r="O63" i="4"/>
  <c r="O75" i="4"/>
  <c r="O76" i="4"/>
  <c r="O61" i="4"/>
  <c r="H76" i="4"/>
  <c r="H75" i="4"/>
  <c r="H61" i="4"/>
  <c r="P63" i="4"/>
  <c r="P76" i="4"/>
  <c r="P61" i="4"/>
  <c r="P75" i="4"/>
  <c r="R55" i="4"/>
  <c r="G75" i="4"/>
  <c r="G61" i="4"/>
  <c r="I76" i="4"/>
  <c r="I75" i="4"/>
  <c r="I61" i="4"/>
  <c r="Q76" i="4"/>
  <c r="Q75" i="4"/>
  <c r="Q63" i="4"/>
  <c r="Q61" i="4"/>
  <c r="K76" i="4"/>
  <c r="K75" i="4"/>
  <c r="L75" i="4"/>
  <c r="L76" i="4"/>
  <c r="H91" i="4"/>
  <c r="G98" i="4"/>
  <c r="G107" i="4"/>
  <c r="F107" i="4"/>
  <c r="G111" i="4"/>
  <c r="H111" i="4" s="1"/>
  <c r="I111" i="4" s="1"/>
  <c r="J111" i="4" s="1"/>
  <c r="K111" i="4" s="1"/>
  <c r="L111" i="4" s="1"/>
  <c r="M111" i="4" s="1"/>
  <c r="N111" i="4" s="1"/>
  <c r="O111" i="4" s="1"/>
  <c r="P111" i="4" s="1"/>
  <c r="Q111" i="4" s="1"/>
  <c r="I110" i="4"/>
  <c r="R63" i="7" l="1"/>
  <c r="H112" i="7"/>
  <c r="G18" i="7"/>
  <c r="G26" i="7" s="1"/>
  <c r="H9" i="7"/>
  <c r="H16" i="7" s="1"/>
  <c r="N62" i="7"/>
  <c r="N64" i="7"/>
  <c r="N80" i="7" s="1"/>
  <c r="N94" i="7" s="1"/>
  <c r="G16" i="7"/>
  <c r="G24" i="7" s="1"/>
  <c r="L95" i="7"/>
  <c r="N95" i="7"/>
  <c r="G20" i="7"/>
  <c r="G28" i="7" s="1"/>
  <c r="O62" i="7"/>
  <c r="O64" i="7" s="1"/>
  <c r="O80" i="7" s="1"/>
  <c r="O94" i="7" s="1"/>
  <c r="D32" i="8"/>
  <c r="G80" i="7"/>
  <c r="G94" i="7" s="1"/>
  <c r="G96" i="7" s="1"/>
  <c r="H107" i="7"/>
  <c r="G112" i="7"/>
  <c r="I70" i="7"/>
  <c r="I112" i="7"/>
  <c r="K110" i="7"/>
  <c r="F64" i="7"/>
  <c r="R69" i="7"/>
  <c r="G107" i="7"/>
  <c r="J70" i="7"/>
  <c r="K80" i="7"/>
  <c r="K94" i="7" s="1"/>
  <c r="K96" i="7" s="1"/>
  <c r="H70" i="7"/>
  <c r="H80" i="7" s="1"/>
  <c r="H94" i="7" s="1"/>
  <c r="H96" i="7" s="1"/>
  <c r="R75" i="7"/>
  <c r="C15" i="8" s="1"/>
  <c r="R68" i="7"/>
  <c r="C12" i="8" s="1"/>
  <c r="R76" i="7"/>
  <c r="H98" i="7"/>
  <c r="L62" i="7"/>
  <c r="L64" i="7" s="1"/>
  <c r="L80" i="7" s="1"/>
  <c r="L94" i="7" s="1"/>
  <c r="R59" i="7"/>
  <c r="M62" i="7"/>
  <c r="M64" i="7" s="1"/>
  <c r="I91" i="7"/>
  <c r="R61" i="7"/>
  <c r="F70" i="7"/>
  <c r="Q62" i="7"/>
  <c r="Q64" i="7" s="1"/>
  <c r="F32" i="7"/>
  <c r="AI60" i="4"/>
  <c r="AA110" i="4"/>
  <c r="Y64" i="4"/>
  <c r="AI63" i="4"/>
  <c r="AE79" i="4"/>
  <c r="AE80" i="4" s="1"/>
  <c r="AE94" i="4" s="1"/>
  <c r="AA62" i="4"/>
  <c r="AA64" i="4" s="1"/>
  <c r="AA80" i="4" s="1"/>
  <c r="AA94" i="4" s="1"/>
  <c r="AB62" i="4"/>
  <c r="AB64" i="4" s="1"/>
  <c r="AB80" i="4" s="1"/>
  <c r="AB94" i="4" s="1"/>
  <c r="AH64" i="4"/>
  <c r="AH80" i="4" s="1"/>
  <c r="AH94" i="4" s="1"/>
  <c r="AI94" i="4" s="1"/>
  <c r="AG80" i="4"/>
  <c r="AG94" i="4" s="1"/>
  <c r="M64" i="4"/>
  <c r="K70" i="4"/>
  <c r="J70" i="4"/>
  <c r="W62" i="4"/>
  <c r="W64" i="4" s="1"/>
  <c r="W80" i="4" s="1"/>
  <c r="AC62" i="4"/>
  <c r="AC64" i="4" s="1"/>
  <c r="AC80" i="4" s="1"/>
  <c r="AC94" i="4" s="1"/>
  <c r="N62" i="4"/>
  <c r="N64" i="4" s="1"/>
  <c r="P62" i="4"/>
  <c r="P64" i="4" s="1"/>
  <c r="K62" i="4"/>
  <c r="K64" i="4"/>
  <c r="R69" i="4"/>
  <c r="L62" i="4"/>
  <c r="L64" i="4" s="1"/>
  <c r="AI59" i="4"/>
  <c r="O62" i="4"/>
  <c r="O64" i="4" s="1"/>
  <c r="X64" i="4"/>
  <c r="X80" i="4" s="1"/>
  <c r="X94" i="4" s="1"/>
  <c r="Q62" i="4"/>
  <c r="Q64" i="4"/>
  <c r="F70" i="4"/>
  <c r="R70" i="4" s="1"/>
  <c r="R68" i="4"/>
  <c r="AI75" i="4"/>
  <c r="AI76" i="4"/>
  <c r="AF64" i="4"/>
  <c r="AF80" i="4" s="1"/>
  <c r="AF94" i="4" s="1"/>
  <c r="Z79" i="4"/>
  <c r="Y80" i="4"/>
  <c r="Y94" i="4" s="1"/>
  <c r="AD80" i="4"/>
  <c r="AD94" i="4" s="1"/>
  <c r="AI61" i="4"/>
  <c r="AB110" i="4"/>
  <c r="AA112" i="4"/>
  <c r="AI57" i="4"/>
  <c r="Z98" i="4"/>
  <c r="AI70" i="4"/>
  <c r="F89" i="4"/>
  <c r="G18" i="4"/>
  <c r="G26" i="4" s="1"/>
  <c r="G20" i="4"/>
  <c r="G28" i="4" s="1"/>
  <c r="G16" i="4"/>
  <c r="H9" i="4"/>
  <c r="G10" i="4"/>
  <c r="J79" i="4"/>
  <c r="I79" i="4"/>
  <c r="G79" i="4"/>
  <c r="O79" i="4"/>
  <c r="Q79" i="4"/>
  <c r="P79" i="4"/>
  <c r="I112" i="4"/>
  <c r="J110" i="4"/>
  <c r="F62" i="4"/>
  <c r="F64" i="4" s="1"/>
  <c r="H62" i="4"/>
  <c r="H64" i="4" s="1"/>
  <c r="G112" i="4"/>
  <c r="H98" i="4"/>
  <c r="G62" i="4"/>
  <c r="G64" i="4" s="1"/>
  <c r="R75" i="4"/>
  <c r="R59" i="4"/>
  <c r="R60" i="4"/>
  <c r="I62" i="4"/>
  <c r="I64" i="4" s="1"/>
  <c r="R73" i="4"/>
  <c r="N79" i="4"/>
  <c r="R76" i="4"/>
  <c r="M79" i="4"/>
  <c r="I91" i="4"/>
  <c r="K79" i="4"/>
  <c r="J62" i="4"/>
  <c r="J64" i="4" s="1"/>
  <c r="F79" i="4"/>
  <c r="H107" i="4"/>
  <c r="L79" i="4"/>
  <c r="R72" i="4"/>
  <c r="H112" i="4"/>
  <c r="R61" i="4"/>
  <c r="H79" i="4"/>
  <c r="R78" i="4"/>
  <c r="R63" i="4"/>
  <c r="R57" i="4"/>
  <c r="R64" i="7" l="1"/>
  <c r="H20" i="7"/>
  <c r="H28" i="7" s="1"/>
  <c r="H10" i="7"/>
  <c r="M95" i="7"/>
  <c r="Q95" i="7" s="1"/>
  <c r="R95" i="7" s="1"/>
  <c r="P95" i="7"/>
  <c r="P96" i="7" s="1"/>
  <c r="H18" i="7"/>
  <c r="H26" i="7" s="1"/>
  <c r="G31" i="7"/>
  <c r="I9" i="7"/>
  <c r="I10" i="7" s="1"/>
  <c r="K112" i="7"/>
  <c r="N110" i="7"/>
  <c r="N112" i="7" s="1"/>
  <c r="G32" i="7"/>
  <c r="G41" i="7" s="1"/>
  <c r="G48" i="7" s="1"/>
  <c r="O95" i="7"/>
  <c r="O96" i="7" s="1"/>
  <c r="N96" i="7"/>
  <c r="L96" i="7"/>
  <c r="I80" i="7"/>
  <c r="I94" i="7" s="1"/>
  <c r="I96" i="7" s="1"/>
  <c r="L110" i="7"/>
  <c r="R79" i="7"/>
  <c r="Q94" i="7"/>
  <c r="R94" i="7" s="1"/>
  <c r="J80" i="7"/>
  <c r="J94" i="7" s="1"/>
  <c r="J96" i="7" s="1"/>
  <c r="M80" i="7"/>
  <c r="M94" i="7" s="1"/>
  <c r="M96" i="7" s="1"/>
  <c r="R70" i="7"/>
  <c r="R62" i="7"/>
  <c r="J91" i="7"/>
  <c r="J107" i="7"/>
  <c r="C10" i="8"/>
  <c r="C16" i="8" s="1"/>
  <c r="I107" i="7"/>
  <c r="F80" i="7"/>
  <c r="H24" i="7"/>
  <c r="I98" i="7"/>
  <c r="F41" i="7"/>
  <c r="M80" i="4"/>
  <c r="G80" i="4"/>
  <c r="AI62" i="4"/>
  <c r="J80" i="4"/>
  <c r="AI79" i="4"/>
  <c r="N80" i="4"/>
  <c r="K80" i="4"/>
  <c r="K94" i="4" s="1"/>
  <c r="K96" i="4" s="1"/>
  <c r="P80" i="4"/>
  <c r="P94" i="4" s="1"/>
  <c r="P96" i="4" s="1"/>
  <c r="O80" i="4"/>
  <c r="L80" i="4"/>
  <c r="AI64" i="4"/>
  <c r="H80" i="4"/>
  <c r="H94" i="4" s="1"/>
  <c r="H96" i="4" s="1"/>
  <c r="Q80" i="4"/>
  <c r="Q94" i="4" s="1"/>
  <c r="R94" i="4" s="1"/>
  <c r="I80" i="4"/>
  <c r="I94" i="4" s="1"/>
  <c r="I96" i="4" s="1"/>
  <c r="F80" i="4"/>
  <c r="Z80" i="4"/>
  <c r="Z94" i="4" s="1"/>
  <c r="AB112" i="4"/>
  <c r="AC110" i="4"/>
  <c r="AA98" i="4"/>
  <c r="W94" i="4"/>
  <c r="G24" i="4"/>
  <c r="G41" i="4" s="1"/>
  <c r="G31" i="4"/>
  <c r="H20" i="4"/>
  <c r="H28" i="4" s="1"/>
  <c r="H16" i="4"/>
  <c r="H18" i="4"/>
  <c r="H26" i="4" s="1"/>
  <c r="I9" i="4"/>
  <c r="H10" i="4"/>
  <c r="O94" i="4"/>
  <c r="O96" i="4" s="1"/>
  <c r="G94" i="4"/>
  <c r="G96" i="4" s="1"/>
  <c r="N94" i="4"/>
  <c r="N96" i="4" s="1"/>
  <c r="J94" i="4"/>
  <c r="J96" i="4" s="1"/>
  <c r="F48" i="4"/>
  <c r="R64" i="4"/>
  <c r="R79" i="4"/>
  <c r="R62" i="4"/>
  <c r="M94" i="4"/>
  <c r="M96" i="4" s="1"/>
  <c r="L94" i="4"/>
  <c r="L96" i="4" s="1"/>
  <c r="J91" i="4"/>
  <c r="I107" i="4"/>
  <c r="K110" i="4"/>
  <c r="J112" i="4"/>
  <c r="I98" i="4"/>
  <c r="H32" i="7" l="1"/>
  <c r="H41" i="7" s="1"/>
  <c r="H31" i="7"/>
  <c r="O110" i="7"/>
  <c r="O112" i="7" s="1"/>
  <c r="P110" i="7"/>
  <c r="P112" i="7" s="1"/>
  <c r="I18" i="7"/>
  <c r="I26" i="7" s="1"/>
  <c r="J9" i="7"/>
  <c r="J16" i="7" s="1"/>
  <c r="Q96" i="7"/>
  <c r="R96" i="7" s="1"/>
  <c r="I16" i="7"/>
  <c r="I20" i="7"/>
  <c r="I28" i="7" s="1"/>
  <c r="G89" i="7"/>
  <c r="L112" i="7"/>
  <c r="M110" i="7"/>
  <c r="M112" i="7" s="1"/>
  <c r="Q110" i="7"/>
  <c r="J98" i="7"/>
  <c r="G81" i="7"/>
  <c r="G49" i="7"/>
  <c r="F94" i="7"/>
  <c r="F89" i="7"/>
  <c r="F48" i="7"/>
  <c r="H89" i="7"/>
  <c r="H48" i="7"/>
  <c r="K91" i="7"/>
  <c r="K107" i="7"/>
  <c r="AI80" i="4"/>
  <c r="AD110" i="4"/>
  <c r="AC112" i="4"/>
  <c r="AB98" i="4"/>
  <c r="G48" i="4"/>
  <c r="G81" i="4" s="1"/>
  <c r="H24" i="4"/>
  <c r="H41" i="4" s="1"/>
  <c r="H31" i="4"/>
  <c r="G89" i="4"/>
  <c r="I20" i="4"/>
  <c r="I28" i="4" s="1"/>
  <c r="I16" i="4"/>
  <c r="I18" i="4"/>
  <c r="I26" i="4" s="1"/>
  <c r="Q96" i="4"/>
  <c r="R96" i="4" s="1"/>
  <c r="U95" i="4" s="1"/>
  <c r="W95" i="4" s="1"/>
  <c r="X95" i="4" s="1"/>
  <c r="J9" i="4"/>
  <c r="I10" i="4"/>
  <c r="K91" i="4"/>
  <c r="K107" i="4" s="1"/>
  <c r="F94" i="4"/>
  <c r="R80" i="4"/>
  <c r="J98" i="4"/>
  <c r="K112" i="4"/>
  <c r="L110" i="4"/>
  <c r="J107" i="4"/>
  <c r="I31" i="7" l="1"/>
  <c r="J20" i="7"/>
  <c r="J28" i="7" s="1"/>
  <c r="J10" i="7"/>
  <c r="I24" i="7"/>
  <c r="I32" i="7" s="1"/>
  <c r="K9" i="7"/>
  <c r="L9" i="7" s="1"/>
  <c r="J18" i="7"/>
  <c r="J26" i="7" s="1"/>
  <c r="N91" i="7"/>
  <c r="N107" i="7" s="1"/>
  <c r="L91" i="7"/>
  <c r="H81" i="7"/>
  <c r="H49" i="7"/>
  <c r="Q112" i="7"/>
  <c r="K98" i="7"/>
  <c r="N98" i="7" s="1"/>
  <c r="F81" i="7"/>
  <c r="F49" i="7"/>
  <c r="F96" i="7"/>
  <c r="F106" i="7"/>
  <c r="G106" i="7"/>
  <c r="G82" i="7"/>
  <c r="G84" i="7"/>
  <c r="G105" i="7" s="1"/>
  <c r="J24" i="7"/>
  <c r="H106" i="7"/>
  <c r="G49" i="4"/>
  <c r="W96" i="4"/>
  <c r="Y95" i="4"/>
  <c r="X96" i="4"/>
  <c r="AE110" i="4"/>
  <c r="AD112" i="4"/>
  <c r="AC98" i="4"/>
  <c r="H89" i="4"/>
  <c r="H106" i="4" s="1"/>
  <c r="I24" i="4"/>
  <c r="I41" i="4" s="1"/>
  <c r="I31" i="4"/>
  <c r="J18" i="4"/>
  <c r="J26" i="4" s="1"/>
  <c r="J20" i="4"/>
  <c r="J28" i="4" s="1"/>
  <c r="J16" i="4"/>
  <c r="K9" i="4"/>
  <c r="J10" i="4"/>
  <c r="M110" i="4"/>
  <c r="L112" i="4"/>
  <c r="F106" i="4"/>
  <c r="F96" i="4"/>
  <c r="G106" i="4"/>
  <c r="F81" i="4"/>
  <c r="F49" i="4"/>
  <c r="K98" i="4"/>
  <c r="G82" i="4"/>
  <c r="G84" i="4"/>
  <c r="G105" i="4" s="1"/>
  <c r="L91" i="4"/>
  <c r="L107" i="4" s="1"/>
  <c r="K16" i="7" l="1"/>
  <c r="L10" i="7"/>
  <c r="M9" i="7"/>
  <c r="J31" i="7"/>
  <c r="K20" i="7"/>
  <c r="K28" i="7" s="1"/>
  <c r="J32" i="7"/>
  <c r="J41" i="7" s="1"/>
  <c r="J48" i="7" s="1"/>
  <c r="K10" i="7"/>
  <c r="K18" i="7"/>
  <c r="K26" i="7" s="1"/>
  <c r="P91" i="7"/>
  <c r="P107" i="7" s="1"/>
  <c r="O91" i="7"/>
  <c r="O107" i="7" s="1"/>
  <c r="G108" i="7"/>
  <c r="G121" i="7" s="1"/>
  <c r="I41" i="7"/>
  <c r="L16" i="7"/>
  <c r="L18" i="7"/>
  <c r="L26" i="7" s="1"/>
  <c r="L20" i="7"/>
  <c r="L28" i="7" s="1"/>
  <c r="M91" i="7"/>
  <c r="L98" i="7"/>
  <c r="L107" i="7"/>
  <c r="H82" i="7"/>
  <c r="H84" i="7"/>
  <c r="H105" i="7" s="1"/>
  <c r="H108" i="7" s="1"/>
  <c r="H121" i="7" s="1"/>
  <c r="F84" i="7"/>
  <c r="F82" i="7"/>
  <c r="K24" i="7"/>
  <c r="J89" i="7"/>
  <c r="Z95" i="4"/>
  <c r="Y96" i="4"/>
  <c r="AE112" i="4"/>
  <c r="AF110" i="4"/>
  <c r="AD98" i="4"/>
  <c r="J24" i="4"/>
  <c r="J41" i="4" s="1"/>
  <c r="J31" i="4"/>
  <c r="I89" i="4"/>
  <c r="K16" i="4"/>
  <c r="K18" i="4"/>
  <c r="K26" i="4" s="1"/>
  <c r="K20" i="4"/>
  <c r="K28" i="4" s="1"/>
  <c r="L9" i="4"/>
  <c r="K10" i="4"/>
  <c r="H48" i="4"/>
  <c r="H81" i="4" s="1"/>
  <c r="F84" i="4"/>
  <c r="F82" i="4"/>
  <c r="N110" i="4"/>
  <c r="M112" i="4"/>
  <c r="L98" i="4"/>
  <c r="M91" i="4"/>
  <c r="G108" i="4"/>
  <c r="G121" i="4" s="1"/>
  <c r="I48" i="4"/>
  <c r="I81" i="4" s="1"/>
  <c r="M10" i="7" l="1"/>
  <c r="N9" i="7"/>
  <c r="K31" i="7"/>
  <c r="O98" i="7"/>
  <c r="P98" i="7"/>
  <c r="J81" i="7"/>
  <c r="J49" i="7"/>
  <c r="M18" i="7"/>
  <c r="M26" i="7" s="1"/>
  <c r="M20" i="7"/>
  <c r="M28" i="7" s="1"/>
  <c r="M16" i="7"/>
  <c r="K32" i="7"/>
  <c r="F105" i="7"/>
  <c r="F108" i="7" s="1"/>
  <c r="F121" i="7" s="1"/>
  <c r="F122" i="7" s="1"/>
  <c r="F88" i="7" s="1"/>
  <c r="F99" i="7"/>
  <c r="Q91" i="7"/>
  <c r="R91" i="7" s="1"/>
  <c r="M98" i="7"/>
  <c r="L24" i="7"/>
  <c r="L32" i="7" s="1"/>
  <c r="L41" i="7" s="1"/>
  <c r="L31" i="7"/>
  <c r="M107" i="7"/>
  <c r="I48" i="7"/>
  <c r="I89" i="7"/>
  <c r="AA95" i="4"/>
  <c r="Z96" i="4"/>
  <c r="AF112" i="4"/>
  <c r="AG110" i="4"/>
  <c r="AE98" i="4"/>
  <c r="J89" i="4"/>
  <c r="J106" i="4" s="1"/>
  <c r="I106" i="4"/>
  <c r="K24" i="4"/>
  <c r="K41" i="4" s="1"/>
  <c r="K31" i="4"/>
  <c r="L16" i="4"/>
  <c r="L18" i="4"/>
  <c r="L26" i="4" s="1"/>
  <c r="L20" i="4"/>
  <c r="L28" i="4" s="1"/>
  <c r="M9" i="4"/>
  <c r="L10" i="4"/>
  <c r="J48" i="4"/>
  <c r="J81" i="4" s="1"/>
  <c r="I49" i="4"/>
  <c r="M98" i="4"/>
  <c r="N112" i="4"/>
  <c r="O110" i="4"/>
  <c r="N91" i="4"/>
  <c r="M107" i="4"/>
  <c r="F99" i="4"/>
  <c r="F105" i="4"/>
  <c r="F108" i="4" s="1"/>
  <c r="F121" i="4" s="1"/>
  <c r="F122" i="4" s="1"/>
  <c r="F88" i="4" s="1"/>
  <c r="N10" i="7" l="1"/>
  <c r="O9" i="7"/>
  <c r="N20" i="7"/>
  <c r="N28" i="7" s="1"/>
  <c r="N18" i="7"/>
  <c r="N26" i="7" s="1"/>
  <c r="N16" i="7"/>
  <c r="Q107" i="7"/>
  <c r="J106" i="7"/>
  <c r="I106" i="7"/>
  <c r="M24" i="7"/>
  <c r="M41" i="7" s="1"/>
  <c r="M31" i="7"/>
  <c r="I81" i="7"/>
  <c r="I49" i="7"/>
  <c r="Q98" i="7"/>
  <c r="R98" i="7" s="1"/>
  <c r="K41" i="7"/>
  <c r="J82" i="7"/>
  <c r="J84" i="7"/>
  <c r="J105" i="7" s="1"/>
  <c r="L48" i="7"/>
  <c r="L89" i="7"/>
  <c r="F90" i="7"/>
  <c r="F92" i="7" s="1"/>
  <c r="G120" i="7"/>
  <c r="G122" i="7" s="1"/>
  <c r="G88" i="7" s="1"/>
  <c r="G99" i="7"/>
  <c r="F100" i="7"/>
  <c r="F101" i="7" s="1"/>
  <c r="AB95" i="4"/>
  <c r="AA96" i="4"/>
  <c r="AF98" i="4"/>
  <c r="AH110" i="4"/>
  <c r="AH112" i="4" s="1"/>
  <c r="AG112" i="4"/>
  <c r="L24" i="4"/>
  <c r="L41" i="4" s="1"/>
  <c r="L31" i="4"/>
  <c r="K89" i="4"/>
  <c r="M16" i="4"/>
  <c r="M20" i="4"/>
  <c r="M28" i="4" s="1"/>
  <c r="M18" i="4"/>
  <c r="M26" i="4" s="1"/>
  <c r="N9" i="4"/>
  <c r="M10" i="4"/>
  <c r="G120" i="4"/>
  <c r="G122" i="4" s="1"/>
  <c r="G88" i="4" s="1"/>
  <c r="F90" i="4"/>
  <c r="F92" i="4" s="1"/>
  <c r="I82" i="4"/>
  <c r="I84" i="4"/>
  <c r="I105" i="4" s="1"/>
  <c r="I108" i="4" s="1"/>
  <c r="I121" i="4" s="1"/>
  <c r="H49" i="4"/>
  <c r="G99" i="4"/>
  <c r="F100" i="4"/>
  <c r="F101" i="4" s="1"/>
  <c r="N98" i="4"/>
  <c r="O91" i="4"/>
  <c r="N107" i="4"/>
  <c r="P110" i="4"/>
  <c r="O112" i="4"/>
  <c r="J49" i="4"/>
  <c r="J108" i="7" l="1"/>
  <c r="J121" i="7" s="1"/>
  <c r="N31" i="7"/>
  <c r="N24" i="7"/>
  <c r="N41" i="7" s="1"/>
  <c r="P9" i="7"/>
  <c r="O10" i="7"/>
  <c r="O20" i="7"/>
  <c r="O28" i="7" s="1"/>
  <c r="O18" i="7"/>
  <c r="O26" i="7" s="1"/>
  <c r="O16" i="7"/>
  <c r="H120" i="7"/>
  <c r="H122" i="7" s="1"/>
  <c r="H88" i="7" s="1"/>
  <c r="G90" i="7"/>
  <c r="G92" i="7" s="1"/>
  <c r="H99" i="7"/>
  <c r="G100" i="7"/>
  <c r="G101" i="7" s="1"/>
  <c r="K48" i="7"/>
  <c r="K89" i="7"/>
  <c r="M89" i="7"/>
  <c r="M106" i="7" s="1"/>
  <c r="M48" i="7"/>
  <c r="I82" i="7"/>
  <c r="I84" i="7"/>
  <c r="F102" i="7"/>
  <c r="L81" i="7"/>
  <c r="L49" i="7"/>
  <c r="L89" i="4"/>
  <c r="AC95" i="4"/>
  <c r="AB96" i="4"/>
  <c r="AG98" i="4"/>
  <c r="M24" i="4"/>
  <c r="M41" i="4" s="1"/>
  <c r="M31" i="4"/>
  <c r="L106" i="4"/>
  <c r="K106" i="4"/>
  <c r="N16" i="4"/>
  <c r="N18" i="4"/>
  <c r="N26" i="4" s="1"/>
  <c r="N20" i="4"/>
  <c r="N28" i="4" s="1"/>
  <c r="F102" i="4"/>
  <c r="O9" i="4"/>
  <c r="O16" i="4" s="1"/>
  <c r="N10" i="4"/>
  <c r="L48" i="4"/>
  <c r="L81" i="4" s="1"/>
  <c r="P91" i="4"/>
  <c r="O107" i="4"/>
  <c r="K48" i="4"/>
  <c r="K81" i="4" s="1"/>
  <c r="Q110" i="4"/>
  <c r="Q112" i="4" s="1"/>
  <c r="P112" i="4"/>
  <c r="O98" i="4"/>
  <c r="H120" i="4"/>
  <c r="G90" i="4"/>
  <c r="G92" i="4" s="1"/>
  <c r="H82" i="4"/>
  <c r="H84" i="4"/>
  <c r="H99" i="4" s="1"/>
  <c r="J82" i="4"/>
  <c r="J84" i="4"/>
  <c r="J105" i="4" s="1"/>
  <c r="J108" i="4" s="1"/>
  <c r="J121" i="4" s="1"/>
  <c r="G100" i="4"/>
  <c r="G101" i="4" s="1"/>
  <c r="O31" i="7" l="1"/>
  <c r="O24" i="7"/>
  <c r="O32" i="7" s="1"/>
  <c r="O41" i="7" s="1"/>
  <c r="Q9" i="7"/>
  <c r="P10" i="7"/>
  <c r="P20" i="7"/>
  <c r="P28" i="7" s="1"/>
  <c r="P18" i="7"/>
  <c r="P26" i="7" s="1"/>
  <c r="P16" i="7"/>
  <c r="N48" i="7"/>
  <c r="N89" i="7"/>
  <c r="N106" i="7" s="1"/>
  <c r="G102" i="7"/>
  <c r="I105" i="7"/>
  <c r="I108" i="7" s="1"/>
  <c r="I121" i="7" s="1"/>
  <c r="L84" i="7"/>
  <c r="L105" i="7" s="1"/>
  <c r="L82" i="7"/>
  <c r="L106" i="7"/>
  <c r="K106" i="7"/>
  <c r="H90" i="7"/>
  <c r="H92" i="7" s="1"/>
  <c r="I120" i="7"/>
  <c r="M81" i="7"/>
  <c r="M49" i="7"/>
  <c r="I99" i="7"/>
  <c r="H100" i="7"/>
  <c r="H101" i="7" s="1"/>
  <c r="K81" i="7"/>
  <c r="K49" i="7"/>
  <c r="AD95" i="4"/>
  <c r="AC96" i="4"/>
  <c r="AH98" i="4"/>
  <c r="M89" i="4"/>
  <c r="N24" i="4"/>
  <c r="N41" i="4" s="1"/>
  <c r="N31" i="4"/>
  <c r="O24" i="4"/>
  <c r="O18" i="4"/>
  <c r="O26" i="4" s="1"/>
  <c r="O20" i="4"/>
  <c r="O28" i="4" s="1"/>
  <c r="P9" i="4"/>
  <c r="O10" i="4"/>
  <c r="G102" i="4"/>
  <c r="L49" i="4"/>
  <c r="Q91" i="4"/>
  <c r="R91" i="4" s="1"/>
  <c r="I99" i="4"/>
  <c r="H100" i="4"/>
  <c r="H101" i="4" s="1"/>
  <c r="M48" i="4"/>
  <c r="M81" i="4" s="1"/>
  <c r="P98" i="4"/>
  <c r="H105" i="4"/>
  <c r="H108" i="4" s="1"/>
  <c r="H121" i="4" s="1"/>
  <c r="H122" i="4" s="1"/>
  <c r="H88" i="4" s="1"/>
  <c r="P107" i="4"/>
  <c r="P31" i="7" l="1"/>
  <c r="P24" i="7"/>
  <c r="P32" i="7" s="1"/>
  <c r="P41" i="7" s="1"/>
  <c r="R9" i="7"/>
  <c r="Q10" i="7"/>
  <c r="R10" i="7" s="1"/>
  <c r="Q20" i="7"/>
  <c r="Q28" i="7" s="1"/>
  <c r="R28" i="7" s="1"/>
  <c r="E31" i="8" s="1"/>
  <c r="Q16" i="7"/>
  <c r="Q18" i="7"/>
  <c r="O48" i="7"/>
  <c r="O89" i="7"/>
  <c r="O106" i="7" s="1"/>
  <c r="N81" i="7"/>
  <c r="N49" i="7"/>
  <c r="I122" i="7"/>
  <c r="I88" i="7" s="1"/>
  <c r="J120" i="7" s="1"/>
  <c r="J122" i="7" s="1"/>
  <c r="J88" i="7" s="1"/>
  <c r="L108" i="7"/>
  <c r="L121" i="7" s="1"/>
  <c r="I90" i="7"/>
  <c r="I92" i="7" s="1"/>
  <c r="H102" i="7"/>
  <c r="J99" i="7"/>
  <c r="I100" i="7"/>
  <c r="I101" i="7" s="1"/>
  <c r="K84" i="7"/>
  <c r="K82" i="7"/>
  <c r="M82" i="7"/>
  <c r="M84" i="7"/>
  <c r="M105" i="7" s="1"/>
  <c r="M108" i="7" s="1"/>
  <c r="M121" i="7" s="1"/>
  <c r="AE95" i="4"/>
  <c r="AD96" i="4"/>
  <c r="AI98" i="4"/>
  <c r="N89" i="4"/>
  <c r="N106" i="4" s="1"/>
  <c r="O31" i="4"/>
  <c r="O41" i="4"/>
  <c r="M106" i="4"/>
  <c r="P20" i="4"/>
  <c r="P28" i="4" s="1"/>
  <c r="P16" i="4"/>
  <c r="P18" i="4"/>
  <c r="P26" i="4" s="1"/>
  <c r="Q9" i="4"/>
  <c r="W9" i="4" s="1"/>
  <c r="P10" i="4"/>
  <c r="N48" i="4"/>
  <c r="N81" i="4" s="1"/>
  <c r="I120" i="4"/>
  <c r="I122" i="4" s="1"/>
  <c r="I88" i="4" s="1"/>
  <c r="H90" i="4"/>
  <c r="H92" i="4" s="1"/>
  <c r="H102" i="4" s="1"/>
  <c r="Q107" i="4"/>
  <c r="Q98" i="4"/>
  <c r="K49" i="4"/>
  <c r="M49" i="4"/>
  <c r="L82" i="4"/>
  <c r="L84" i="4"/>
  <c r="L105" i="4" s="1"/>
  <c r="L108" i="4" s="1"/>
  <c r="L121" i="4" s="1"/>
  <c r="J99" i="4"/>
  <c r="I100" i="4"/>
  <c r="I101" i="4" s="1"/>
  <c r="Q26" i="7" l="1"/>
  <c r="R26" i="7" s="1"/>
  <c r="E30" i="8" s="1"/>
  <c r="O49" i="7"/>
  <c r="O81" i="7"/>
  <c r="Q24" i="7"/>
  <c r="Q32" i="7" s="1"/>
  <c r="Q31" i="7"/>
  <c r="R31" i="7" s="1"/>
  <c r="N84" i="7"/>
  <c r="N105" i="7" s="1"/>
  <c r="N108" i="7" s="1"/>
  <c r="N121" i="7" s="1"/>
  <c r="N82" i="7"/>
  <c r="P89" i="7"/>
  <c r="P106" i="7" s="1"/>
  <c r="P48" i="7"/>
  <c r="I102" i="7"/>
  <c r="K99" i="7"/>
  <c r="J100" i="7"/>
  <c r="J101" i="7" s="1"/>
  <c r="K105" i="7"/>
  <c r="K108" i="7" s="1"/>
  <c r="K121" i="7" s="1"/>
  <c r="J90" i="7"/>
  <c r="J92" i="7" s="1"/>
  <c r="K120" i="7"/>
  <c r="X9" i="4"/>
  <c r="W10" i="4"/>
  <c r="W20" i="4"/>
  <c r="W28" i="4" s="1"/>
  <c r="W16" i="4"/>
  <c r="W18" i="4"/>
  <c r="W26" i="4" s="1"/>
  <c r="AF95" i="4"/>
  <c r="AE96" i="4"/>
  <c r="O89" i="4"/>
  <c r="O106" i="4" s="1"/>
  <c r="P24" i="4"/>
  <c r="P41" i="4" s="1"/>
  <c r="P31" i="4"/>
  <c r="Q20" i="4"/>
  <c r="Q28" i="4" s="1"/>
  <c r="Q16" i="4"/>
  <c r="Q18" i="4"/>
  <c r="Q26" i="4" s="1"/>
  <c r="R9" i="4"/>
  <c r="Q10" i="4"/>
  <c r="O48" i="4"/>
  <c r="O81" i="4" s="1"/>
  <c r="J100" i="4"/>
  <c r="J101" i="4" s="1"/>
  <c r="R98" i="4"/>
  <c r="K82" i="4"/>
  <c r="K84" i="4"/>
  <c r="N49" i="4"/>
  <c r="M84" i="4"/>
  <c r="M105" i="4" s="1"/>
  <c r="M108" i="4" s="1"/>
  <c r="M121" i="4" s="1"/>
  <c r="M82" i="4"/>
  <c r="J120" i="4"/>
  <c r="J122" i="4" s="1"/>
  <c r="J88" i="4" s="1"/>
  <c r="I90" i="4"/>
  <c r="I92" i="4" s="1"/>
  <c r="I102" i="4" s="1"/>
  <c r="Q41" i="7" l="1"/>
  <c r="P49" i="7"/>
  <c r="P81" i="7"/>
  <c r="N99" i="7"/>
  <c r="N100" i="7" s="1"/>
  <c r="N101" i="7" s="1"/>
  <c r="O84" i="7"/>
  <c r="O105" i="7" s="1"/>
  <c r="O108" i="7" s="1"/>
  <c r="O121" i="7" s="1"/>
  <c r="O82" i="7"/>
  <c r="J102" i="7"/>
  <c r="L99" i="7"/>
  <c r="K100" i="7"/>
  <c r="K101" i="7" s="1"/>
  <c r="R24" i="7"/>
  <c r="E29" i="8" s="1"/>
  <c r="E32" i="8" s="1"/>
  <c r="G32" i="8" s="1"/>
  <c r="K122" i="7"/>
  <c r="K88" i="7" s="1"/>
  <c r="N120" i="7" s="1"/>
  <c r="N122" i="7" s="1"/>
  <c r="N88" i="7" s="1"/>
  <c r="N90" i="7" s="1"/>
  <c r="N92" i="7" s="1"/>
  <c r="W31" i="4"/>
  <c r="W24" i="4"/>
  <c r="X20" i="4"/>
  <c r="X28" i="4" s="1"/>
  <c r="X10" i="4"/>
  <c r="X16" i="4"/>
  <c r="X18" i="4"/>
  <c r="X26" i="4" s="1"/>
  <c r="Y9" i="4"/>
  <c r="AG95" i="4"/>
  <c r="AF96" i="4"/>
  <c r="P89" i="4"/>
  <c r="P106" i="4"/>
  <c r="K105" i="4"/>
  <c r="K108" i="4" s="1"/>
  <c r="K121" i="4" s="1"/>
  <c r="Q24" i="4"/>
  <c r="Q31" i="4"/>
  <c r="K99" i="4"/>
  <c r="N84" i="4"/>
  <c r="N105" i="4" s="1"/>
  <c r="N108" i="4" s="1"/>
  <c r="N121" i="4" s="1"/>
  <c r="N82" i="4"/>
  <c r="P48" i="4"/>
  <c r="P81" i="4" s="1"/>
  <c r="R8" i="4"/>
  <c r="K120" i="4"/>
  <c r="J90" i="4"/>
  <c r="J92" i="4" s="1"/>
  <c r="J102" i="4" s="1"/>
  <c r="Q89" i="7" l="1"/>
  <c r="Q48" i="7"/>
  <c r="Q49" i="7" s="1"/>
  <c r="N102" i="7"/>
  <c r="R89" i="7"/>
  <c r="Q106" i="7"/>
  <c r="P82" i="7"/>
  <c r="P84" i="7"/>
  <c r="P105" i="7" s="1"/>
  <c r="P108" i="7" s="1"/>
  <c r="P121" i="7" s="1"/>
  <c r="Q81" i="7"/>
  <c r="R81" i="7" s="1"/>
  <c r="C23" i="8" s="1"/>
  <c r="O99" i="7"/>
  <c r="O100" i="7" s="1"/>
  <c r="O101" i="7" s="1"/>
  <c r="R32" i="7"/>
  <c r="C20" i="8" s="1"/>
  <c r="L120" i="7"/>
  <c r="L122" i="7" s="1"/>
  <c r="L88" i="7" s="1"/>
  <c r="K90" i="7"/>
  <c r="K92" i="7" s="1"/>
  <c r="K102" i="7" s="1"/>
  <c r="M99" i="7"/>
  <c r="L100" i="7"/>
  <c r="L101" i="7" s="1"/>
  <c r="X31" i="4"/>
  <c r="X24" i="4"/>
  <c r="X32" i="4" s="1"/>
  <c r="X41" i="4" s="1"/>
  <c r="W32" i="4"/>
  <c r="W41" i="4" s="1"/>
  <c r="W48" i="4" s="1"/>
  <c r="Y16" i="4"/>
  <c r="Y18" i="4"/>
  <c r="Y26" i="4" s="1"/>
  <c r="Y20" i="4"/>
  <c r="Y28" i="4" s="1"/>
  <c r="Z9" i="4"/>
  <c r="Y10" i="4"/>
  <c r="AH95" i="4"/>
  <c r="AG96" i="4"/>
  <c r="K122" i="4"/>
  <c r="K88" i="4" s="1"/>
  <c r="L120" i="4" s="1"/>
  <c r="L122" i="4" s="1"/>
  <c r="L88" i="4" s="1"/>
  <c r="R31" i="4"/>
  <c r="L99" i="4"/>
  <c r="K100" i="4"/>
  <c r="K101" i="4" s="1"/>
  <c r="P49" i="4"/>
  <c r="O49" i="4"/>
  <c r="Q84" i="7" l="1"/>
  <c r="Q105" i="7" s="1"/>
  <c r="Q108" i="7" s="1"/>
  <c r="Q121" i="7" s="1"/>
  <c r="Q82" i="7"/>
  <c r="P99" i="7"/>
  <c r="P100" i="7" s="1"/>
  <c r="P101" i="7" s="1"/>
  <c r="O120" i="7"/>
  <c r="O122" i="7" s="1"/>
  <c r="O88" i="7" s="1"/>
  <c r="O90" i="7" s="1"/>
  <c r="O92" i="7" s="1"/>
  <c r="O102" i="7" s="1"/>
  <c r="P120" i="7"/>
  <c r="P122" i="7" s="1"/>
  <c r="P88" i="7" s="1"/>
  <c r="P90" i="7" s="1"/>
  <c r="P92" i="7" s="1"/>
  <c r="P102" i="7" s="1"/>
  <c r="M120" i="7"/>
  <c r="M122" i="7" s="1"/>
  <c r="M88" i="7" s="1"/>
  <c r="L90" i="7"/>
  <c r="L92" i="7" s="1"/>
  <c r="L102" i="7" s="1"/>
  <c r="Q99" i="7"/>
  <c r="M100" i="7"/>
  <c r="M101" i="7" s="1"/>
  <c r="R41" i="7"/>
  <c r="Y31" i="4"/>
  <c r="Y24" i="4"/>
  <c r="Y32" i="4" s="1"/>
  <c r="Z20" i="4"/>
  <c r="Z28" i="4" s="1"/>
  <c r="Z16" i="4"/>
  <c r="Z18" i="4"/>
  <c r="Z26" i="4" s="1"/>
  <c r="Z10" i="4"/>
  <c r="AA9" i="4"/>
  <c r="W89" i="4"/>
  <c r="X48" i="4"/>
  <c r="X89" i="4"/>
  <c r="AI95" i="4"/>
  <c r="AH96" i="4"/>
  <c r="AI96" i="4" s="1"/>
  <c r="K90" i="4"/>
  <c r="K92" i="4" s="1"/>
  <c r="K102" i="4" s="1"/>
  <c r="Q41" i="4"/>
  <c r="Q89" i="4" s="1"/>
  <c r="M120" i="4"/>
  <c r="M122" i="4" s="1"/>
  <c r="M88" i="4" s="1"/>
  <c r="L90" i="4"/>
  <c r="L92" i="4" s="1"/>
  <c r="M99" i="4"/>
  <c r="L100" i="4"/>
  <c r="L101" i="4" s="1"/>
  <c r="O84" i="4"/>
  <c r="O82" i="4"/>
  <c r="P84" i="4"/>
  <c r="P105" i="4" s="1"/>
  <c r="P108" i="4" s="1"/>
  <c r="P121" i="4" s="1"/>
  <c r="P82" i="4"/>
  <c r="R84" i="7" l="1"/>
  <c r="C24" i="8" s="1"/>
  <c r="R48" i="7"/>
  <c r="Q120" i="7"/>
  <c r="Q122" i="7" s="1"/>
  <c r="M90" i="7"/>
  <c r="M92" i="7" s="1"/>
  <c r="M102" i="7" s="1"/>
  <c r="Q100" i="7"/>
  <c r="Q101" i="7" s="1"/>
  <c r="R41" i="4"/>
  <c r="X106" i="4"/>
  <c r="W106" i="4"/>
  <c r="Y41" i="4"/>
  <c r="Z24" i="4"/>
  <c r="Z31" i="4"/>
  <c r="AA20" i="4"/>
  <c r="AA28" i="4" s="1"/>
  <c r="AA16" i="4"/>
  <c r="AA18" i="4"/>
  <c r="AA26" i="4" s="1"/>
  <c r="AB9" i="4"/>
  <c r="AA10" i="4"/>
  <c r="X81" i="4"/>
  <c r="X49" i="4"/>
  <c r="W81" i="4"/>
  <c r="W49" i="4"/>
  <c r="Q48" i="4"/>
  <c r="O105" i="4"/>
  <c r="O108" i="4" s="1"/>
  <c r="O121" i="4" s="1"/>
  <c r="L102" i="4"/>
  <c r="R89" i="4"/>
  <c r="Q106" i="4"/>
  <c r="N120" i="4"/>
  <c r="N122" i="4" s="1"/>
  <c r="N88" i="4" s="1"/>
  <c r="M90" i="4"/>
  <c r="M92" i="4" s="1"/>
  <c r="N99" i="4"/>
  <c r="M100" i="4"/>
  <c r="M101" i="4" s="1"/>
  <c r="R49" i="7" l="1"/>
  <c r="C21" i="8"/>
  <c r="Q88" i="7"/>
  <c r="R88" i="7" s="1"/>
  <c r="R122" i="7"/>
  <c r="Q90" i="7"/>
  <c r="R82" i="7"/>
  <c r="R48" i="4"/>
  <c r="Q81" i="4"/>
  <c r="W84" i="4"/>
  <c r="W82" i="4"/>
  <c r="X82" i="4"/>
  <c r="X84" i="4"/>
  <c r="X105" i="4" s="1"/>
  <c r="Z32" i="4"/>
  <c r="AB20" i="4"/>
  <c r="AB28" i="4" s="1"/>
  <c r="AB16" i="4"/>
  <c r="AB18" i="4"/>
  <c r="AB26" i="4" s="1"/>
  <c r="AB10" i="4"/>
  <c r="AC9" i="4"/>
  <c r="Y89" i="4"/>
  <c r="Y48" i="4"/>
  <c r="AA31" i="4"/>
  <c r="AA24" i="4"/>
  <c r="AA32" i="4" s="1"/>
  <c r="AA41" i="4" s="1"/>
  <c r="M102" i="4"/>
  <c r="O99" i="4"/>
  <c r="N100" i="4"/>
  <c r="N101" i="4" s="1"/>
  <c r="O120" i="4"/>
  <c r="O122" i="4" s="1"/>
  <c r="O88" i="4" s="1"/>
  <c r="N90" i="4"/>
  <c r="N92" i="4" s="1"/>
  <c r="R81" i="4"/>
  <c r="Q49" i="4"/>
  <c r="Q92" i="7" l="1"/>
  <c r="R90" i="7"/>
  <c r="R82" i="4"/>
  <c r="C9" i="6"/>
  <c r="R49" i="4"/>
  <c r="C7" i="6"/>
  <c r="Z41" i="4"/>
  <c r="AC20" i="4"/>
  <c r="AC28" i="4" s="1"/>
  <c r="AC16" i="4"/>
  <c r="AC18" i="4"/>
  <c r="AC26" i="4" s="1"/>
  <c r="AC10" i="4"/>
  <c r="AD9" i="4"/>
  <c r="W105" i="4"/>
  <c r="W99" i="4"/>
  <c r="Y49" i="4"/>
  <c r="Y81" i="4"/>
  <c r="Y106" i="4"/>
  <c r="AA48" i="4"/>
  <c r="AA89" i="4"/>
  <c r="AB31" i="4"/>
  <c r="AB24" i="4"/>
  <c r="P99" i="4"/>
  <c r="O100" i="4"/>
  <c r="O101" i="4" s="1"/>
  <c r="P120" i="4"/>
  <c r="P122" i="4" s="1"/>
  <c r="P88" i="4" s="1"/>
  <c r="O90" i="4"/>
  <c r="O92" i="4" s="1"/>
  <c r="Q84" i="4"/>
  <c r="Q82" i="4"/>
  <c r="N102" i="4"/>
  <c r="Q102" i="7" l="1"/>
  <c r="R102" i="7" s="1"/>
  <c r="R92" i="7"/>
  <c r="AD18" i="4"/>
  <c r="AD26" i="4" s="1"/>
  <c r="AD20" i="4"/>
  <c r="AD28" i="4" s="1"/>
  <c r="AD16" i="4"/>
  <c r="AD10" i="4"/>
  <c r="AE9" i="4"/>
  <c r="AC24" i="4"/>
  <c r="AC32" i="4" s="1"/>
  <c r="AC41" i="4" s="1"/>
  <c r="AC31" i="4"/>
  <c r="AA49" i="4"/>
  <c r="AA81" i="4"/>
  <c r="Y84" i="4"/>
  <c r="Y82" i="4"/>
  <c r="AB32" i="4"/>
  <c r="X99" i="4"/>
  <c r="W100" i="4"/>
  <c r="W101" i="4" s="1"/>
  <c r="Z89" i="4"/>
  <c r="Z106" i="4" s="1"/>
  <c r="Z48" i="4"/>
  <c r="Q105" i="4"/>
  <c r="Q108" i="4" s="1"/>
  <c r="Q121" i="4" s="1"/>
  <c r="R84" i="4"/>
  <c r="C10" i="6" s="1"/>
  <c r="O102" i="4"/>
  <c r="Q99" i="4"/>
  <c r="P100" i="4"/>
  <c r="P101" i="4" s="1"/>
  <c r="Q120" i="4"/>
  <c r="P90" i="4"/>
  <c r="P92" i="4" s="1"/>
  <c r="AC89" i="4" l="1"/>
  <c r="AC48" i="4"/>
  <c r="AB41" i="4"/>
  <c r="AE18" i="4"/>
  <c r="AE20" i="4"/>
  <c r="AE28" i="4" s="1"/>
  <c r="AF9" i="4"/>
  <c r="AE10" i="4"/>
  <c r="Q122" i="4"/>
  <c r="R122" i="4" s="1"/>
  <c r="U120" i="4" s="1"/>
  <c r="W120" i="4" s="1"/>
  <c r="AD24" i="4"/>
  <c r="AD31" i="4"/>
  <c r="Z49" i="4"/>
  <c r="Z81" i="4"/>
  <c r="Y105" i="4"/>
  <c r="AA84" i="4"/>
  <c r="AA105" i="4" s="1"/>
  <c r="AA82" i="4"/>
  <c r="Y99" i="4"/>
  <c r="X100" i="4"/>
  <c r="X101" i="4" s="1"/>
  <c r="AA106" i="4"/>
  <c r="P102" i="4"/>
  <c r="R99" i="4"/>
  <c r="Q100" i="4"/>
  <c r="Q88" i="4" l="1"/>
  <c r="AE26" i="4"/>
  <c r="AE32" i="4" s="1"/>
  <c r="AE41" i="4" s="1"/>
  <c r="AE31" i="4"/>
  <c r="AD32" i="4"/>
  <c r="AI24" i="4"/>
  <c r="AC81" i="4"/>
  <c r="AC49" i="4"/>
  <c r="AF18" i="4"/>
  <c r="AF20" i="4"/>
  <c r="AF28" i="4" s="1"/>
  <c r="AG9" i="4"/>
  <c r="AF10" i="4"/>
  <c r="Z84" i="4"/>
  <c r="Z82" i="4"/>
  <c r="Z99" i="4"/>
  <c r="Y100" i="4"/>
  <c r="Y101" i="4" s="1"/>
  <c r="AB89" i="4"/>
  <c r="AB48" i="4"/>
  <c r="Q90" i="4"/>
  <c r="R100" i="4"/>
  <c r="Q101" i="4"/>
  <c r="AC106" i="4" l="1"/>
  <c r="AB106" i="4"/>
  <c r="AF26" i="4"/>
  <c r="AF32" i="4" s="1"/>
  <c r="AF41" i="4" s="1"/>
  <c r="AF31" i="4"/>
  <c r="AA99" i="4"/>
  <c r="Z100" i="4"/>
  <c r="Z101" i="4" s="1"/>
  <c r="AC82" i="4"/>
  <c r="AC84" i="4"/>
  <c r="AC105" i="4" s="1"/>
  <c r="Z105" i="4"/>
  <c r="AD41" i="4"/>
  <c r="AB49" i="4"/>
  <c r="AB81" i="4"/>
  <c r="AG18" i="4"/>
  <c r="AG20" i="4"/>
  <c r="AG28" i="4" s="1"/>
  <c r="AH9" i="4"/>
  <c r="AG10" i="4"/>
  <c r="AE48" i="4"/>
  <c r="AE89" i="4"/>
  <c r="R101" i="4"/>
  <c r="Q92" i="4"/>
  <c r="R92" i="4" s="1"/>
  <c r="U91" i="4" s="1"/>
  <c r="R90" i="4"/>
  <c r="AB82" i="4" l="1"/>
  <c r="AB84" i="4"/>
  <c r="AB99" i="4" s="1"/>
  <c r="AG26" i="4"/>
  <c r="AG32" i="4" s="1"/>
  <c r="AG31" i="4"/>
  <c r="AE81" i="4"/>
  <c r="AE49" i="4"/>
  <c r="AA100" i="4"/>
  <c r="AA101" i="4" s="1"/>
  <c r="AD89" i="4"/>
  <c r="AD48" i="4"/>
  <c r="AF48" i="4"/>
  <c r="AF89" i="4"/>
  <c r="AF106" i="4" s="1"/>
  <c r="AH20" i="4"/>
  <c r="AH28" i="4" s="1"/>
  <c r="AI28" i="4" s="1"/>
  <c r="AH18" i="4"/>
  <c r="AH10" i="4"/>
  <c r="AI9" i="4"/>
  <c r="W91" i="4"/>
  <c r="W107" i="4" s="1"/>
  <c r="Q102" i="4"/>
  <c r="R102" i="4" s="1"/>
  <c r="AF81" i="4" l="1"/>
  <c r="AF49" i="4"/>
  <c r="AB100" i="4"/>
  <c r="AB101" i="4" s="1"/>
  <c r="AC99" i="4"/>
  <c r="AE84" i="4"/>
  <c r="AE105" i="4" s="1"/>
  <c r="AE82" i="4"/>
  <c r="AD49" i="4"/>
  <c r="AD81" i="4"/>
  <c r="AG41" i="4"/>
  <c r="AD106" i="4"/>
  <c r="AE106" i="4"/>
  <c r="AB105" i="4"/>
  <c r="AH26" i="4"/>
  <c r="AH31" i="4"/>
  <c r="AI31" i="4" s="1"/>
  <c r="W108" i="4"/>
  <c r="W121" i="4" s="1"/>
  <c r="W122" i="4" s="1"/>
  <c r="W88" i="4" s="1"/>
  <c r="X91" i="4"/>
  <c r="Y91" i="4" s="1"/>
  <c r="X107" i="4" l="1"/>
  <c r="X108" i="4" s="1"/>
  <c r="X121" i="4" s="1"/>
  <c r="AG48" i="4"/>
  <c r="AG89" i="4"/>
  <c r="AC100" i="4"/>
  <c r="AC101" i="4" s="1"/>
  <c r="AD99" i="4"/>
  <c r="AF84" i="4"/>
  <c r="AF105" i="4" s="1"/>
  <c r="AF82" i="4"/>
  <c r="AH32" i="4"/>
  <c r="AI26" i="4"/>
  <c r="AD84" i="4"/>
  <c r="AD82" i="4"/>
  <c r="X120" i="4"/>
  <c r="X122" i="4" s="1"/>
  <c r="X88" i="4" s="1"/>
  <c r="W90" i="4"/>
  <c r="W92" i="4" s="1"/>
  <c r="W102" i="4" s="1"/>
  <c r="Y107" i="4"/>
  <c r="Y108" i="4" s="1"/>
  <c r="Y121" i="4" s="1"/>
  <c r="Z91" i="4"/>
  <c r="AA91" i="4" s="1"/>
  <c r="AH41" i="4" l="1"/>
  <c r="AI32" i="4"/>
  <c r="AE99" i="4"/>
  <c r="AD100" i="4"/>
  <c r="AD101" i="4" s="1"/>
  <c r="AD105" i="4"/>
  <c r="AG106" i="4"/>
  <c r="Z107" i="4"/>
  <c r="Z108" i="4" s="1"/>
  <c r="Z121" i="4" s="1"/>
  <c r="AG81" i="4"/>
  <c r="AG49" i="4"/>
  <c r="AA107" i="4"/>
  <c r="AA108" i="4" s="1"/>
  <c r="AA121" i="4" s="1"/>
  <c r="AB91" i="4"/>
  <c r="AB107" i="4" s="1"/>
  <c r="AB108" i="4" s="1"/>
  <c r="AB121" i="4" s="1"/>
  <c r="Y120" i="4"/>
  <c r="Y122" i="4" s="1"/>
  <c r="Y88" i="4" s="1"/>
  <c r="X90" i="4"/>
  <c r="X92" i="4" s="1"/>
  <c r="X102" i="4" s="1"/>
  <c r="AG82" i="4" l="1"/>
  <c r="AG84" i="4"/>
  <c r="AF99" i="4"/>
  <c r="AE100" i="4"/>
  <c r="AE101" i="4" s="1"/>
  <c r="AH89" i="4"/>
  <c r="AH48" i="4"/>
  <c r="AI41" i="4"/>
  <c r="Z120" i="4"/>
  <c r="Z122" i="4" s="1"/>
  <c r="Z88" i="4" s="1"/>
  <c r="Y90" i="4"/>
  <c r="Y92" i="4" s="1"/>
  <c r="Y102" i="4" s="1"/>
  <c r="AC91" i="4"/>
  <c r="AC107" i="4" s="1"/>
  <c r="AC108" i="4" s="1"/>
  <c r="AC121" i="4" s="1"/>
  <c r="AH49" i="4" l="1"/>
  <c r="AH81" i="4"/>
  <c r="AI48" i="4"/>
  <c r="AI49" i="4" s="1"/>
  <c r="AI89" i="4"/>
  <c r="AH106" i="4"/>
  <c r="AF100" i="4"/>
  <c r="AF101" i="4" s="1"/>
  <c r="AG99" i="4"/>
  <c r="AG105" i="4"/>
  <c r="AD91" i="4"/>
  <c r="AE91" i="4" s="1"/>
  <c r="AA120" i="4"/>
  <c r="AA122" i="4" s="1"/>
  <c r="AA88" i="4" s="1"/>
  <c r="Z90" i="4"/>
  <c r="Z92" i="4" s="1"/>
  <c r="Z102" i="4" s="1"/>
  <c r="AG100" i="4" l="1"/>
  <c r="AG101" i="4" s="1"/>
  <c r="AH82" i="4"/>
  <c r="AH84" i="4"/>
  <c r="AH99" i="4" s="1"/>
  <c r="AI81" i="4"/>
  <c r="AI82" i="4" s="1"/>
  <c r="AB120" i="4"/>
  <c r="AB122" i="4" s="1"/>
  <c r="AB88" i="4" s="1"/>
  <c r="AA90" i="4"/>
  <c r="AA92" i="4" s="1"/>
  <c r="AA102" i="4" s="1"/>
  <c r="AD107" i="4"/>
  <c r="AD108" i="4" s="1"/>
  <c r="AD121" i="4" s="1"/>
  <c r="AE107" i="4"/>
  <c r="AE108" i="4" s="1"/>
  <c r="AE121" i="4" s="1"/>
  <c r="AF91" i="4"/>
  <c r="AG91" i="4" s="1"/>
  <c r="AF107" i="4" l="1"/>
  <c r="AF108" i="4" s="1"/>
  <c r="AF121" i="4" s="1"/>
  <c r="AH105" i="4"/>
  <c r="AI84" i="4"/>
  <c r="AH100" i="4"/>
  <c r="AI99" i="4"/>
  <c r="AG107" i="4"/>
  <c r="AG108" i="4" s="1"/>
  <c r="AG121" i="4" s="1"/>
  <c r="AH91" i="4"/>
  <c r="AI91" i="4" s="1"/>
  <c r="AC120" i="4"/>
  <c r="AC122" i="4" s="1"/>
  <c r="AC88" i="4" s="1"/>
  <c r="AB90" i="4"/>
  <c r="AB92" i="4" s="1"/>
  <c r="AB102" i="4" s="1"/>
  <c r="AH107" i="4" l="1"/>
  <c r="AH108" i="4" s="1"/>
  <c r="AH121" i="4" s="1"/>
  <c r="AI100" i="4"/>
  <c r="AH101" i="4"/>
  <c r="AI101" i="4" s="1"/>
  <c r="AC90" i="4"/>
  <c r="AC92" i="4" s="1"/>
  <c r="AC102" i="4" s="1"/>
  <c r="AD120" i="4"/>
  <c r="AD122" i="4" s="1"/>
  <c r="AD88" i="4" s="1"/>
  <c r="AD90" i="4" l="1"/>
  <c r="AD92" i="4" s="1"/>
  <c r="AD102" i="4" s="1"/>
  <c r="AE120" i="4"/>
  <c r="AE122" i="4" s="1"/>
  <c r="AE88" i="4" s="1"/>
  <c r="AF120" i="4" l="1"/>
  <c r="AF122" i="4" s="1"/>
  <c r="AF88" i="4" s="1"/>
  <c r="AE90" i="4"/>
  <c r="AE92" i="4" s="1"/>
  <c r="AE102" i="4" s="1"/>
  <c r="AF90" i="4" l="1"/>
  <c r="AF92" i="4" s="1"/>
  <c r="AF102" i="4" s="1"/>
  <c r="AG120" i="4"/>
  <c r="AG122" i="4" s="1"/>
  <c r="AG88" i="4" s="1"/>
  <c r="AH120" i="4" l="1"/>
  <c r="AH122" i="4" s="1"/>
  <c r="AG90" i="4"/>
  <c r="AG92" i="4" s="1"/>
  <c r="AG102" i="4" s="1"/>
  <c r="AI122" i="4" l="1"/>
  <c r="AH88" i="4"/>
  <c r="AI88" i="4" l="1"/>
  <c r="AH90" i="4"/>
  <c r="AH92" i="4" l="1"/>
  <c r="AI90" i="4"/>
  <c r="AH102" i="4" l="1"/>
  <c r="AI102" i="4" s="1"/>
  <c r="AI92" i="4"/>
  <c r="E107" i="1" l="1"/>
  <c r="E108" i="1" s="1"/>
  <c r="C103" i="1"/>
  <c r="F87" i="1"/>
  <c r="E86" i="1"/>
  <c r="F86" i="1" s="1"/>
  <c r="C98" i="1"/>
  <c r="C93" i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G67" i="1"/>
  <c r="F73" i="1"/>
  <c r="G73" i="1" s="1"/>
  <c r="F70" i="1"/>
  <c r="G70" i="1" s="1"/>
  <c r="E75" i="1"/>
  <c r="F66" i="1"/>
  <c r="G66" i="1" s="1"/>
  <c r="F65" i="1"/>
  <c r="G65" i="1" s="1"/>
  <c r="F64" i="1"/>
  <c r="C21" i="1"/>
  <c r="A21" i="1"/>
  <c r="A9" i="1"/>
  <c r="E9" i="1" s="1"/>
  <c r="E13" i="1" s="1"/>
  <c r="E17" i="1" s="1"/>
  <c r="G21" i="1" s="1"/>
  <c r="E87" i="1" l="1"/>
  <c r="F75" i="1"/>
  <c r="G64" i="1"/>
  <c r="G75" i="1" s="1"/>
  <c r="H21" i="1"/>
  <c r="G25" i="1"/>
  <c r="G22" i="1"/>
  <c r="G23" i="1"/>
  <c r="G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7C535E23-38ED-1C47-933E-DC58BE8F6E5B}">
      <text>
        <r>
          <rPr>
            <b/>
            <sz val="10"/>
            <color rgb="FF000000"/>
            <rFont val="Calibri"/>
            <family val="2"/>
          </rPr>
          <t>Microsoft Office User: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2" authorId="0" shapeId="0" xr:uid="{E90EECF7-0DC5-0C4C-B76C-4534C4294325}">
      <text>
        <r>
          <rPr>
            <b/>
            <sz val="10"/>
            <color rgb="FF000000"/>
            <rFont val="Calibri"/>
            <family val="2"/>
          </rPr>
          <t>Microsoft Office User: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tc={9807A01F-2289-B245-A126-FFC60F78C686}</author>
  </authors>
  <commentList>
    <comment ref="C2" authorId="0" shapeId="0" xr:uid="{9807A01F-2289-B245-A126-FFC60F78C686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Assumes each player plays on average 2hrs</t>
      </text>
    </comment>
  </commentList>
</comments>
</file>

<file path=xl/sharedStrings.xml><?xml version="1.0" encoding="utf-8"?>
<sst xmlns="http://schemas.openxmlformats.org/spreadsheetml/2006/main" count="680" uniqueCount="335">
  <si>
    <t>Pickled</t>
  </si>
  <si>
    <t>Total # of Players in the US</t>
  </si>
  <si>
    <t>(Assumed) # of Players in CA</t>
  </si>
  <si>
    <t>% of Total # of Players</t>
  </si>
  <si>
    <t>Total</t>
  </si>
  <si>
    <t>(Assumed) # of Players in (Southern) CA</t>
  </si>
  <si>
    <t>(Assumed) # of Players in (Orange County) CA</t>
  </si>
  <si>
    <t>Will only play in public parks</t>
  </si>
  <si>
    <t>Once a year attendants</t>
  </si>
  <si>
    <t>Once a month</t>
  </si>
  <si>
    <t>% of (Assumed # of player in CA</t>
  </si>
  <si>
    <t>% of (Assumed) # of players in SoCal</t>
  </si>
  <si>
    <t>Population</t>
  </si>
  <si>
    <t>Cities</t>
  </si>
  <si>
    <t>Desired Location</t>
  </si>
  <si>
    <t>City</t>
  </si>
  <si>
    <t># of Players</t>
  </si>
  <si>
    <t>Aliso Viejo</t>
  </si>
  <si>
    <t>Anaheim</t>
  </si>
  <si>
    <t>Brea</t>
  </si>
  <si>
    <t>Buena Park</t>
  </si>
  <si>
    <t>Costa Mesa</t>
  </si>
  <si>
    <t>Cypress</t>
  </si>
  <si>
    <t>Dana Point</t>
  </si>
  <si>
    <t>Fountain Valley</t>
  </si>
  <si>
    <t>Fullerton</t>
  </si>
  <si>
    <t>Garden Grove</t>
  </si>
  <si>
    <t>Huntington Beach</t>
  </si>
  <si>
    <t>Irvine</t>
  </si>
  <si>
    <t>La Habra</t>
  </si>
  <si>
    <t>La Palma</t>
  </si>
  <si>
    <t>Laguna Beach</t>
  </si>
  <si>
    <t>Laguna Hills</t>
  </si>
  <si>
    <t>Laguna Niguel</t>
  </si>
  <si>
    <t>Laguna Woods</t>
  </si>
  <si>
    <t>Lake Forest</t>
  </si>
  <si>
    <t>Los Alamitos</t>
  </si>
  <si>
    <t>Mission Viejo</t>
  </si>
  <si>
    <t>Newport Beach</t>
  </si>
  <si>
    <t>Orange</t>
  </si>
  <si>
    <t>Placentia</t>
  </si>
  <si>
    <t>Rancho Santa Margarita</t>
  </si>
  <si>
    <t>San Clemente</t>
  </si>
  <si>
    <t>San Juan Capistrano</t>
  </si>
  <si>
    <t>Santa Ana</t>
  </si>
  <si>
    <t>Seal Beach</t>
  </si>
  <si>
    <t>Stanton</t>
  </si>
  <si>
    <t>Tustin</t>
  </si>
  <si>
    <t>Villa Park</t>
  </si>
  <si>
    <t>Westminster</t>
  </si>
  <si>
    <t>Yorba Linda</t>
  </si>
  <si>
    <t>Pop. Of Surr. Cities</t>
  </si>
  <si>
    <t>Multiple times a week</t>
  </si>
  <si>
    <t>Monetization Options</t>
  </si>
  <si>
    <t>Cost</t>
  </si>
  <si>
    <t>Freuency</t>
  </si>
  <si>
    <t>Monthly</t>
  </si>
  <si>
    <t>Once</t>
  </si>
  <si>
    <t>Totals</t>
  </si>
  <si>
    <t>% of Players based on OC pop.</t>
  </si>
  <si>
    <t>Total % of total population</t>
  </si>
  <si>
    <t>10,000 sqft</t>
  </si>
  <si>
    <t>Court Design</t>
  </si>
  <si>
    <r>
      <t xml:space="preserve">1. </t>
    </r>
    <r>
      <rPr>
        <b/>
        <sz val="12"/>
        <color theme="1"/>
        <rFont val="Calibri"/>
        <family val="2"/>
        <scheme val="minor"/>
      </rPr>
      <t>Modular Court Design</t>
    </r>
    <r>
      <rPr>
        <sz val="12"/>
        <color theme="1"/>
        <rFont val="Calibri"/>
        <family val="2"/>
        <scheme val="minor"/>
      </rPr>
      <t xml:space="preserve">: Use a modular court system for the regular courts, allowing for easy reconfiguration. This setup can be quickly transformed from multiple individual courts into a larger tournament-style space.
2. </t>
    </r>
    <r>
      <rPr>
        <b/>
        <sz val="12"/>
        <color theme="1"/>
        <rFont val="Calibri"/>
        <family val="2"/>
        <scheme val="minor"/>
      </rPr>
      <t>Retractable Seating</t>
    </r>
    <r>
      <rPr>
        <sz val="12"/>
        <color theme="1"/>
        <rFont val="Calibri"/>
        <family val="2"/>
        <scheme val="minor"/>
      </rPr>
      <t xml:space="preserve">: Implement retractable or foldable spectator seating around the courts. During regular play, these can be compacted or moved aside, and for tournaments, expanded to accommodate more spectators.
3. </t>
    </r>
    <r>
      <rPr>
        <b/>
        <sz val="12"/>
        <color theme="1"/>
        <rFont val="Calibri"/>
        <family val="2"/>
        <scheme val="minor"/>
      </rPr>
      <t>Portable Equipment</t>
    </r>
    <r>
      <rPr>
        <sz val="12"/>
        <color theme="1"/>
        <rFont val="Calibri"/>
        <family val="2"/>
        <scheme val="minor"/>
      </rPr>
      <t xml:space="preserve">: Ensure that all necessary equipment like nets, scoreboards, and cameras are easily movable or retractable.
4. </t>
    </r>
    <r>
      <rPr>
        <b/>
        <sz val="12"/>
        <color theme="1"/>
        <rFont val="Calibri"/>
        <family val="2"/>
        <scheme val="minor"/>
      </rPr>
      <t>Open Floor Plan</t>
    </r>
    <r>
      <rPr>
        <sz val="12"/>
        <color theme="1"/>
        <rFont val="Calibri"/>
        <family val="2"/>
        <scheme val="minor"/>
      </rPr>
      <t xml:space="preserve">: Design the 15,000 sq ft area with minimal permanent structures, allowing for easy transition from regular play to tournament setup.
5. </t>
    </r>
    <r>
      <rPr>
        <b/>
        <sz val="12"/>
        <color theme="1"/>
        <rFont val="Calibri"/>
        <family val="2"/>
        <scheme val="minor"/>
      </rPr>
      <t>Efficient Use of Space</t>
    </r>
    <r>
      <rPr>
        <sz val="12"/>
        <color theme="1"/>
        <rFont val="Calibri"/>
        <family val="2"/>
        <scheme val="minor"/>
      </rPr>
      <t>: Utilize the same area for both regular and tournament play, adapting the layout as needed. This might involve temporary adjustments to the lounge/waiting area during tournaments to accommodate additional seating or viewing areas.</t>
    </r>
  </si>
  <si>
    <t>15,000 Sqft (8-9) courts</t>
  </si>
  <si>
    <r>
      <t xml:space="preserve">1. </t>
    </r>
    <r>
      <rPr>
        <b/>
        <sz val="12"/>
        <color theme="1"/>
        <rFont val="Calibri"/>
        <family val="2"/>
        <scheme val="minor"/>
      </rPr>
      <t>Lounge &amp; Seating Area with Open and Reserved Play Waiting Area</t>
    </r>
    <r>
      <rPr>
        <sz val="12"/>
        <color theme="1"/>
        <rFont val="Calibri"/>
        <family val="2"/>
        <scheme val="minor"/>
      </rPr>
      <t xml:space="preserve">: </t>
    </r>
    <r>
      <rPr>
        <u/>
        <sz val="12"/>
        <color theme="1"/>
        <rFont val="Calibri (Body)"/>
      </rPr>
      <t>3,500 sq</t>
    </r>
    <r>
      <rPr>
        <sz val="12"/>
        <color theme="1"/>
        <rFont val="Calibri"/>
        <family val="2"/>
        <scheme val="minor"/>
      </rPr>
      <t xml:space="preserve"> ft. This larger space will accommodate comfortable seating, tables, and areas for players to wait or relax before and after games.
2. </t>
    </r>
    <r>
      <rPr>
        <b/>
        <sz val="12"/>
        <color theme="1"/>
        <rFont val="Calibri"/>
        <family val="2"/>
        <scheme val="minor"/>
      </rPr>
      <t>Male Locker Room</t>
    </r>
    <r>
      <rPr>
        <sz val="12"/>
        <color theme="1"/>
        <rFont val="Calibri"/>
        <family val="2"/>
        <scheme val="minor"/>
      </rPr>
      <t xml:space="preserve">: </t>
    </r>
    <r>
      <rPr>
        <u/>
        <sz val="12"/>
        <color theme="1"/>
        <rFont val="Calibri (Body)"/>
      </rPr>
      <t>1,250 sq ft.</t>
    </r>
    <r>
      <rPr>
        <sz val="12"/>
        <color theme="1"/>
        <rFont val="Calibri"/>
        <family val="2"/>
        <scheme val="minor"/>
      </rPr>
      <t xml:space="preserve"> Including showers, lockers, and changing area.
3. </t>
    </r>
    <r>
      <rPr>
        <b/>
        <sz val="12"/>
        <color theme="1"/>
        <rFont val="Calibri"/>
        <family val="2"/>
        <scheme val="minor"/>
      </rPr>
      <t>Female Locker Room</t>
    </r>
    <r>
      <rPr>
        <sz val="12"/>
        <color theme="1"/>
        <rFont val="Calibri"/>
        <family val="2"/>
        <scheme val="minor"/>
      </rPr>
      <t xml:space="preserve">: </t>
    </r>
    <r>
      <rPr>
        <u/>
        <sz val="12"/>
        <color theme="1"/>
        <rFont val="Calibri (Body)"/>
      </rPr>
      <t>1,250 sq ft</t>
    </r>
    <r>
      <rPr>
        <sz val="12"/>
        <color theme="1"/>
        <rFont val="Calibri"/>
        <family val="2"/>
        <scheme val="minor"/>
      </rPr>
      <t xml:space="preserve">. Similar in size and amenities to the male locker room.
4. </t>
    </r>
    <r>
      <rPr>
        <b/>
        <sz val="12"/>
        <color theme="1"/>
        <rFont val="Calibri"/>
        <family val="2"/>
        <scheme val="minor"/>
      </rPr>
      <t>Public Wellness Area (Sauna, Steam Room, Cold Plunges)</t>
    </r>
    <r>
      <rPr>
        <sz val="12"/>
        <color theme="1"/>
        <rFont val="Calibri"/>
        <family val="2"/>
        <scheme val="minor"/>
      </rPr>
      <t xml:space="preserve">: </t>
    </r>
    <r>
      <rPr>
        <u/>
        <sz val="12"/>
        <color theme="1"/>
        <rFont val="Calibri (Body)"/>
      </rPr>
      <t>1,500 sq ft</t>
    </r>
    <r>
      <rPr>
        <sz val="12"/>
        <color theme="1"/>
        <rFont val="Calibri"/>
        <family val="2"/>
        <scheme val="minor"/>
      </rPr>
      <t xml:space="preserve">. Providing relaxation and recovery options post-game.
5. </t>
    </r>
    <r>
      <rPr>
        <b/>
        <sz val="12"/>
        <color theme="1"/>
        <rFont val="Calibri"/>
        <family val="2"/>
        <scheme val="minor"/>
      </rPr>
      <t>Admin Section (Trainers, Equipment Rental, Beverage Service)</t>
    </r>
    <r>
      <rPr>
        <sz val="12"/>
        <color theme="1"/>
        <rFont val="Calibri"/>
        <family val="2"/>
        <scheme val="minor"/>
      </rPr>
      <t xml:space="preserve">: </t>
    </r>
    <r>
      <rPr>
        <u/>
        <sz val="12"/>
        <color theme="1"/>
        <rFont val="Calibri (Body)"/>
      </rPr>
      <t>1,500 sq ft</t>
    </r>
    <r>
      <rPr>
        <sz val="12"/>
        <color theme="1"/>
        <rFont val="Calibri"/>
        <family val="2"/>
        <scheme val="minor"/>
      </rPr>
      <t xml:space="preserve">. Space for managing the facility, renting equipment, and beverage service.
6. </t>
    </r>
    <r>
      <rPr>
        <b/>
        <sz val="12"/>
        <color theme="1"/>
        <rFont val="Calibri"/>
        <family val="2"/>
        <scheme val="minor"/>
      </rPr>
      <t>Digital Community Board and Miscellaneous</t>
    </r>
    <r>
      <rPr>
        <sz val="12"/>
        <color theme="1"/>
        <rFont val="Calibri"/>
        <family val="2"/>
        <scheme val="minor"/>
      </rPr>
      <t xml:space="preserve">: </t>
    </r>
    <r>
      <rPr>
        <u/>
        <sz val="12"/>
        <color theme="1"/>
        <rFont val="Calibri (Body)"/>
      </rPr>
      <t>1,000 sq ft</t>
    </r>
    <r>
      <rPr>
        <sz val="12"/>
        <color theme="1"/>
        <rFont val="Calibri"/>
        <family val="2"/>
        <scheme val="minor"/>
      </rPr>
      <t>. Area for the digital board, additional seating, and other smaller amenities.</t>
    </r>
  </si>
  <si>
    <r>
      <t xml:space="preserve">1. </t>
    </r>
    <r>
      <rPr>
        <b/>
        <sz val="12"/>
        <color theme="1"/>
        <rFont val="Calibri"/>
        <family val="2"/>
        <scheme val="minor"/>
      </rPr>
      <t>Open Play Courts</t>
    </r>
    <r>
      <rPr>
        <sz val="12"/>
        <color theme="1"/>
        <rFont val="Calibri"/>
        <family val="2"/>
        <scheme val="minor"/>
      </rPr>
      <t xml:space="preserve">: Assuming each court requires about </t>
    </r>
    <r>
      <rPr>
        <u/>
        <sz val="12"/>
        <color theme="1"/>
        <rFont val="Calibri (Body)"/>
      </rPr>
      <t>1,480 sq ft</t>
    </r>
    <r>
      <rPr>
        <sz val="12"/>
        <color theme="1"/>
        <rFont val="Calibri"/>
        <family val="2"/>
        <scheme val="minor"/>
      </rPr>
      <t xml:space="preserve"> (including space for movement), you could allocate around </t>
    </r>
    <r>
      <rPr>
        <u/>
        <sz val="12"/>
        <color theme="1"/>
        <rFont val="Calibri (Body)"/>
      </rPr>
      <t>10,000 sq ft</t>
    </r>
    <r>
      <rPr>
        <sz val="12"/>
        <color theme="1"/>
        <rFont val="Calibri"/>
        <family val="2"/>
        <scheme val="minor"/>
      </rPr>
      <t xml:space="preserve"> for open play. This would allow for approximately </t>
    </r>
    <r>
      <rPr>
        <b/>
        <sz val="12"/>
        <color theme="1"/>
        <rFont val="Calibri"/>
        <family val="2"/>
        <scheme val="minor"/>
      </rPr>
      <t>6 to 7 courts.</t>
    </r>
    <r>
      <rPr>
        <sz val="12"/>
        <color theme="1"/>
        <rFont val="Calibri"/>
        <family val="2"/>
        <scheme val="minor"/>
      </rPr>
      <t xml:space="preserve">
2. </t>
    </r>
    <r>
      <rPr>
        <b/>
        <sz val="12"/>
        <color theme="1"/>
        <rFont val="Calibri"/>
        <family val="2"/>
        <scheme val="minor"/>
      </rPr>
      <t>Reserved Play Courts</t>
    </r>
    <r>
      <rPr>
        <sz val="12"/>
        <color theme="1"/>
        <rFont val="Calibri"/>
        <family val="2"/>
        <scheme val="minor"/>
      </rPr>
      <t>: With the remaining</t>
    </r>
    <r>
      <rPr>
        <u/>
        <sz val="12"/>
        <color theme="1"/>
        <rFont val="Calibri (Body)"/>
      </rPr>
      <t xml:space="preserve"> 5,000 sq ft</t>
    </r>
    <r>
      <rPr>
        <sz val="12"/>
        <color theme="1"/>
        <rFont val="Calibri"/>
        <family val="2"/>
        <scheme val="minor"/>
      </rPr>
      <t xml:space="preserve">, you can allocate </t>
    </r>
    <r>
      <rPr>
        <b/>
        <sz val="12"/>
        <color theme="1"/>
        <rFont val="Calibri"/>
        <family val="2"/>
        <scheme val="minor"/>
      </rPr>
      <t>2 courts</t>
    </r>
    <r>
      <rPr>
        <sz val="12"/>
        <color theme="1"/>
        <rFont val="Calibri"/>
        <family val="2"/>
        <scheme val="minor"/>
      </rPr>
      <t xml:space="preserve"> for reserved play. Each of these courts would also require around </t>
    </r>
    <r>
      <rPr>
        <u/>
        <sz val="12"/>
        <color theme="1"/>
        <rFont val="Calibri (Body)"/>
      </rPr>
      <t>1,480 sq ft</t>
    </r>
    <r>
      <rPr>
        <sz val="12"/>
        <color theme="1"/>
        <rFont val="Calibri"/>
        <family val="2"/>
        <scheme val="minor"/>
      </rPr>
      <t>, leaving additional space for more comfortable movement and a more exclusive feel.</t>
    </r>
  </si>
  <si>
    <t># of members</t>
  </si>
  <si>
    <t>Monthly Totals</t>
  </si>
  <si>
    <t>Annual Totals</t>
  </si>
  <si>
    <t>First 20 Members</t>
  </si>
  <si>
    <t>Regular Memberships</t>
  </si>
  <si>
    <t>Premium Membership</t>
  </si>
  <si>
    <t>Drop-ins</t>
  </si>
  <si>
    <t>Personal Training</t>
  </si>
  <si>
    <t>per hour</t>
  </si>
  <si>
    <t>Per Month</t>
  </si>
  <si>
    <t>Hrs Per Week</t>
  </si>
  <si>
    <t>Per Court Cost</t>
  </si>
  <si>
    <t>Initiation Fee</t>
  </si>
  <si>
    <t>Court Build out</t>
  </si>
  <si>
    <t>28x60</t>
  </si>
  <si>
    <t>Total # of Courts</t>
  </si>
  <si>
    <t>All Court Cost</t>
  </si>
  <si>
    <t>36x60</t>
  </si>
  <si>
    <t>C&amp;D Champiopnship Nets</t>
  </si>
  <si>
    <t>https://pickleroll.com/collections/nets</t>
  </si>
  <si>
    <t>https://pickleroll.com/pages/purchase-a-court</t>
  </si>
  <si>
    <t>Tidi-court court organizer</t>
  </si>
  <si>
    <t>https://pickleroll.com/products/tidi-court-court-organizer</t>
  </si>
  <si>
    <t>https://www.pickleballcourtsupply.com/8ft-central-park-bench-.html</t>
  </si>
  <si>
    <t>In-court bench seating</t>
  </si>
  <si>
    <t>https://oncourtoffcourt.com/paddle-center/</t>
  </si>
  <si>
    <t>Paddle Holders</t>
  </si>
  <si>
    <t>https://findmyrep.musco.cloud/representatives?team=Sales&amp;country=United+States+of+America&amp;type=State&amp;postal=CA</t>
  </si>
  <si>
    <t>Lighting</t>
  </si>
  <si>
    <t>Sports Lighting In-door</t>
  </si>
  <si>
    <t>Total Cost</t>
  </si>
  <si>
    <t>Sports Lighting Out-door</t>
  </si>
  <si>
    <t>https://www.sonance.com/invisible-series-speakers</t>
  </si>
  <si>
    <t>in-wall speakers</t>
  </si>
  <si>
    <t>Sound System</t>
  </si>
  <si>
    <t>Lighting *$ will vary</t>
  </si>
  <si>
    <t>Sound *$ will vary</t>
  </si>
  <si>
    <t>Fencing</t>
  </si>
  <si>
    <t>1st floor lounge seating</t>
  </si>
  <si>
    <t>Lounge seating @ courts</t>
  </si>
  <si>
    <t>Cameras</t>
  </si>
  <si>
    <t>360 Cameras</t>
  </si>
  <si>
    <t>https://store.insta360.com/product/Pro_2?itm_source=website&amp;itm_medium=product_page_button&amp;itm_campaign=Pro_2&amp;_gl=1*ajuraf*_ga*MTIxMzg5MzYxNi4xNzAxNzE2NDYw*_ga_7TV2BE92TS*MTcwMTcxNjQ1OS4xLjAuMTcwMTcxNjQ1OS42MC4wLjA.&amp;_ga=2.80576798.820179677.1701716460-1213893616.1701716460</t>
  </si>
  <si>
    <t>Insta 360 Pro 2</t>
  </si>
  <si>
    <t>Total # of cameras</t>
  </si>
  <si>
    <t>Financial Model</t>
  </si>
  <si>
    <t>Year 1</t>
  </si>
  <si>
    <t>Year 2</t>
  </si>
  <si>
    <t>Key in</t>
  </si>
  <si>
    <t>-------------------&gt;</t>
  </si>
  <si>
    <t>FULL-TIME HEADCOUNT</t>
  </si>
  <si>
    <t>ML Engineer</t>
  </si>
  <si>
    <t>Total Headcount</t>
  </si>
  <si>
    <t>INCOME STATEMENT</t>
  </si>
  <si>
    <t>Revenue (from above)</t>
  </si>
  <si>
    <t>Cost of Goods Sold</t>
  </si>
  <si>
    <r>
      <t xml:space="preserve">Amazon S3 </t>
    </r>
    <r>
      <rPr>
        <i/>
        <sz val="10"/>
        <color theme="1"/>
        <rFont val="Calibri"/>
        <family val="2"/>
      </rPr>
      <t>(per GB)</t>
    </r>
  </si>
  <si>
    <r>
      <t xml:space="preserve">Lambda Labs (8x NVIDIA A100) - </t>
    </r>
    <r>
      <rPr>
        <i/>
        <sz val="10"/>
        <color theme="1"/>
        <rFont val="Calibri"/>
        <family val="2"/>
      </rPr>
      <t>(Per Hour)</t>
    </r>
    <r>
      <rPr>
        <sz val="10"/>
        <color theme="1"/>
        <rFont val="Calibri"/>
        <family val="2"/>
      </rPr>
      <t xml:space="preserve"> - 5,120hrs of videos processed a day</t>
    </r>
  </si>
  <si>
    <t>Live</t>
  </si>
  <si>
    <t>Gross Profit</t>
  </si>
  <si>
    <t>Gross margin</t>
  </si>
  <si>
    <t>Operating Expenses</t>
  </si>
  <si>
    <t>Marketing Costs</t>
  </si>
  <si>
    <t>Influencer Marketing</t>
  </si>
  <si>
    <t>Assume</t>
  </si>
  <si>
    <t>Digital Marketing</t>
  </si>
  <si>
    <t>PR</t>
  </si>
  <si>
    <t>SEO</t>
  </si>
  <si>
    <t>Payroll</t>
  </si>
  <si>
    <t>Salary/Mo.</t>
  </si>
  <si>
    <t>Benefits</t>
  </si>
  <si>
    <t>$/Emp/Mo.</t>
  </si>
  <si>
    <t>Payroll Taxes</t>
  </si>
  <si>
    <t>Rate</t>
  </si>
  <si>
    <t>Payroll Administration</t>
  </si>
  <si>
    <t>Contract Labor</t>
  </si>
  <si>
    <t>Monthly Spend</t>
  </si>
  <si>
    <t>General &amp; Administrative Expenses</t>
  </si>
  <si>
    <t>$/staff person/mo</t>
  </si>
  <si>
    <t>Computer &amp; internet expenses (under $1K)</t>
  </si>
  <si>
    <t>Computer Equip/Furniture/Misc. (1K+)</t>
  </si>
  <si>
    <t>Web Services</t>
  </si>
  <si>
    <t>Insurance Expenses</t>
  </si>
  <si>
    <t>per employee</t>
  </si>
  <si>
    <t>M&amp;E</t>
  </si>
  <si>
    <t>Spend/mo</t>
  </si>
  <si>
    <t>Legal/Compliance Spend</t>
  </si>
  <si>
    <t>Rent - Office</t>
  </si>
  <si>
    <t>Operating Income</t>
  </si>
  <si>
    <t>Operating margin</t>
  </si>
  <si>
    <t>Other Income (Interest on Bank Acct and Float)</t>
  </si>
  <si>
    <t>interest rate</t>
  </si>
  <si>
    <t>Net Income</t>
  </si>
  <si>
    <t>BALANCE SHEET</t>
  </si>
  <si>
    <t>Total Bank Accounts</t>
  </si>
  <si>
    <t>A/R + Other Current Assets</t>
  </si>
  <si>
    <t>% of Mo Revenue</t>
  </si>
  <si>
    <t>Current Assets</t>
  </si>
  <si>
    <t>Fixed Assets</t>
  </si>
  <si>
    <t>Month 1</t>
  </si>
  <si>
    <t>Total Assets</t>
  </si>
  <si>
    <t>Current Liabilities</t>
  </si>
  <si>
    <t>% of Mo OpEx</t>
  </si>
  <si>
    <t>LT Liabilities</t>
  </si>
  <si>
    <t>Total Liabilities</t>
  </si>
  <si>
    <t>Capital Stock</t>
  </si>
  <si>
    <t>Accumulated Income</t>
  </si>
  <si>
    <t>Total Equity</t>
  </si>
  <si>
    <t>TOTAL LIABILITIES AND EQUITY</t>
  </si>
  <si>
    <t>Check</t>
  </si>
  <si>
    <t>CASH FLOW STATEMENT</t>
  </si>
  <si>
    <t>Increase/Decrease in Working Capital</t>
  </si>
  <si>
    <t>Change in LT Assets/Liabilities</t>
  </si>
  <si>
    <t>Cash Flow from Operations</t>
  </si>
  <si>
    <t>CapEx</t>
  </si>
  <si>
    <t>Acquisitions</t>
  </si>
  <si>
    <t>Cash Flow from Investments</t>
  </si>
  <si>
    <t>Issuance(Repayment) of Equity</t>
  </si>
  <si>
    <t>Line of Credit</t>
  </si>
  <si>
    <t>Issuance(Repayment) of LT Debt</t>
  </si>
  <si>
    <t>Dividends</t>
  </si>
  <si>
    <t>Cash Flow from Financing</t>
  </si>
  <si>
    <t>Beginning Balance</t>
  </si>
  <si>
    <t>Starting Balance</t>
  </si>
  <si>
    <t>Net Change in Cash</t>
  </si>
  <si>
    <t>Ending Balance</t>
  </si>
  <si>
    <t>January, 2024</t>
  </si>
  <si>
    <t>January, 2025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</si>
  <si>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</si>
  <si>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</si>
  <si>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</si>
  <si>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</si>
  <si>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</si>
  <si>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</si>
  <si>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</si>
  <si>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</si>
  <si>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</si>
  <si>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</si>
  <si>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</si>
  <si>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Pickled Members</t>
  </si>
  <si>
    <t>Construction</t>
  </si>
  <si>
    <t># of Members</t>
  </si>
  <si>
    <t>Member Churn</t>
  </si>
  <si>
    <t>Total # of Members</t>
  </si>
  <si>
    <t># of Members Canceled</t>
  </si>
  <si>
    <t>MoM Growth</t>
  </si>
  <si>
    <t>Tier 2 Membership (3 days a week)</t>
  </si>
  <si>
    <t>Max % Of Members</t>
  </si>
  <si>
    <t>% Each Mo</t>
  </si>
  <si>
    <t>Running Total</t>
  </si>
  <si>
    <t>Tier 2 Membership $</t>
  </si>
  <si>
    <t>Tier 3 Membership $</t>
  </si>
  <si>
    <t>Tier 4 Membership $</t>
  </si>
  <si>
    <t>$ per Mo</t>
  </si>
  <si>
    <t>Soft Launch / Const.</t>
  </si>
  <si>
    <t>Hard Launch</t>
  </si>
  <si>
    <t>Total Hrs Opened</t>
  </si>
  <si>
    <t># of slots available per day</t>
  </si>
  <si>
    <t># of Courts</t>
  </si>
  <si>
    <t>Peak Hours (7am - 10am) &amp; (5pm - 10pm)</t>
  </si>
  <si>
    <t>Peak Hours (8am - 1pm) &amp; (5pm - 10pm)</t>
  </si>
  <si>
    <t>Monday: Open from 5am - 12pm; Peak hours are from 7am - 10am &amp; 5pm - 12pm</t>
  </si>
  <si>
    <t>Tuesday: Open from 5am - 12pm; Peak hours are from 7am - 10am &amp; 5pm - 12pm</t>
  </si>
  <si>
    <t>Wednesday: Open from 5am - 12pm; Peak hours are from 7am - 10am &amp; 5pm - 12pm</t>
  </si>
  <si>
    <t>Thursday: Open from 5am - 12pm; Peak hours are from 7am - 10am &amp; 5pm - 12pm</t>
  </si>
  <si>
    <t>Friday: Open from 5am - 12pm; Peak hours are from 7am - 10am &amp; 5pm - 12pm</t>
  </si>
  <si>
    <t>Saturday: Open from 5am - 12pm; Peak hours are from 8am - 1pm &amp; 5pm - 12pm</t>
  </si>
  <si>
    <t>Sunday: Open from 5am - 12pm; Peak hours are from 8am - 1pm &amp; 5pm - 12pm</t>
  </si>
  <si>
    <t>Non-Peak Hours (5am - 7am) &amp; (10am - 5pm) &amp; (10pm - 12am)</t>
  </si>
  <si>
    <t>Non-Peak Hours (5am - 8am) &amp; (1pm - 5pm) &amp; (10pm - 12am)</t>
  </si>
  <si>
    <t># of active players</t>
  </si>
  <si>
    <t>Avg.Game Length (mins)</t>
  </si>
  <si>
    <t>Max Wait Time (Mins)</t>
  </si>
  <si>
    <t>Max # of reservations per slot</t>
  </si>
  <si>
    <t># of Reservations Per Day</t>
  </si>
  <si>
    <t>Tier 3 Membership (5 days a week) - Guarantee Peak Hr Reservation</t>
  </si>
  <si>
    <t>Tier 4 Membership (24/7 access) - - Guarantee Peak Hr Reservation</t>
  </si>
  <si>
    <t>Total Operational Revenue</t>
  </si>
  <si>
    <t>Facility manger</t>
  </si>
  <si>
    <t>Housekeeping</t>
  </si>
  <si>
    <t>Utilities</t>
  </si>
  <si>
    <t>GB per  month</t>
  </si>
  <si>
    <t>Assume per month</t>
  </si>
  <si>
    <t>Court Buildout</t>
  </si>
  <si>
    <t>months</t>
  </si>
  <si>
    <t>UI.//UX</t>
  </si>
  <si>
    <t>Developer</t>
  </si>
  <si>
    <t>Events</t>
  </si>
  <si>
    <t>Month 13</t>
  </si>
  <si>
    <t xml:space="preserve">INCOME STATEMENT SUMMARY </t>
  </si>
  <si>
    <t>OPERATIONAL REVENUE</t>
  </si>
  <si>
    <t>OPERATING EXPENSES</t>
  </si>
  <si>
    <t>OPERATING INCOME</t>
  </si>
  <si>
    <r>
      <t xml:space="preserve">NET INCOME </t>
    </r>
    <r>
      <rPr>
        <i/>
        <sz val="8"/>
        <color theme="1"/>
        <rFont val="Calibri"/>
        <family val="2"/>
      </rPr>
      <t>(with operating margin and adjusted interest)</t>
    </r>
  </si>
  <si>
    <t xml:space="preserve"> 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</si>
  <si>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</si>
  <si>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</si>
  <si>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</si>
  <si>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</si>
  <si>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</si>
  <si>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</si>
  <si>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</si>
  <si>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</si>
  <si>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October, 2025</t>
  </si>
  <si>
    <t>November, 2025</t>
  </si>
  <si>
    <t>December, 2025</t>
  </si>
  <si>
    <t>$ Generated from Memberships</t>
  </si>
  <si>
    <t>Membership ($) Price</t>
  </si>
  <si>
    <t>Total Members</t>
  </si>
  <si>
    <t># of New Members</t>
  </si>
  <si>
    <t>Initiation Fee Revenue</t>
  </si>
  <si>
    <t>User Growth (Facility #1)</t>
  </si>
  <si>
    <t>One-Time</t>
  </si>
  <si>
    <t>Reocurring</t>
  </si>
  <si>
    <t>Expense</t>
  </si>
  <si>
    <r>
      <t xml:space="preserve">Lambda Labs (8x NVIDIA A100) - </t>
    </r>
    <r>
      <rPr>
        <i/>
        <sz val="10"/>
        <color theme="1"/>
        <rFont val="Calibri"/>
        <family val="2"/>
      </rPr>
      <t>(Per Hour)</t>
    </r>
    <r>
      <rPr>
        <sz val="10"/>
        <color theme="1"/>
        <rFont val="Calibri"/>
        <family val="2"/>
      </rPr>
      <t xml:space="preserve"> </t>
    </r>
  </si>
  <si>
    <t>General Admin Expenses</t>
  </si>
  <si>
    <t>Costs (Year 1)</t>
  </si>
  <si>
    <t>Phase 1</t>
  </si>
  <si>
    <t>Phase 1 Summary</t>
  </si>
  <si>
    <t xml:space="preserve">Phase 1 Invesment </t>
  </si>
  <si>
    <t>Total Investment</t>
  </si>
  <si>
    <t>Runway</t>
  </si>
  <si>
    <t>Facility manager</t>
  </si>
  <si>
    <t>UI/UX</t>
  </si>
  <si>
    <t>ARR</t>
  </si>
  <si>
    <t>12 Months</t>
  </si>
  <si>
    <t>Planning</t>
  </si>
  <si>
    <t>Approved</t>
  </si>
  <si>
    <t>Demo</t>
  </si>
  <si>
    <t>Grand Opening</t>
  </si>
  <si>
    <t>Facility #1 Buildout + Demo</t>
  </si>
  <si>
    <t>Tournamant &amp; Training Facility</t>
  </si>
  <si>
    <t>Operations</t>
  </si>
  <si>
    <t>Monday</t>
  </si>
  <si>
    <t>Tuesday</t>
  </si>
  <si>
    <t>Wednesday</t>
  </si>
  <si>
    <t>Thursday</t>
  </si>
  <si>
    <t>Friday</t>
  </si>
  <si>
    <t>Saturday</t>
  </si>
  <si>
    <t>Sunday</t>
  </si>
  <si>
    <t>Open</t>
  </si>
  <si>
    <t>Close</t>
  </si>
  <si>
    <t># of Hours</t>
  </si>
  <si>
    <t>General</t>
  </si>
  <si>
    <t>Open Play</t>
  </si>
  <si>
    <t>Court Reservations + Training</t>
  </si>
  <si>
    <t>Tournament</t>
  </si>
  <si>
    <t>Start</t>
  </si>
  <si>
    <t>End</t>
  </si>
  <si>
    <t>Addit' Open Play</t>
  </si>
  <si>
    <t>Memberships</t>
  </si>
  <si>
    <t xml:space="preserve">We will want to limit the # of memeberships offer to build up demand and so we ensure we are not turning into Courtside. </t>
  </si>
  <si>
    <t>Tournaments</t>
  </si>
  <si>
    <t>Premium</t>
  </si>
  <si>
    <t>Facility</t>
  </si>
  <si>
    <t>Sqft</t>
  </si>
  <si>
    <t>Full Sized</t>
  </si>
  <si>
    <t>Dink</t>
  </si>
  <si>
    <t>Monthly Rent</t>
  </si>
  <si>
    <t>Per Sqft</t>
  </si>
  <si>
    <t>Annual</t>
  </si>
  <si>
    <t>Main, taxes &amp; Insurance</t>
  </si>
  <si>
    <t>Lease</t>
  </si>
  <si>
    <t>10yrs</t>
  </si>
  <si>
    <t>Monthly Cost</t>
  </si>
  <si>
    <t>Total Monthly $</t>
  </si>
  <si>
    <t>Total Annual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</si>
</sst>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#,###"/>
    <numFmt numFmtId="169" formatCode="_(&quot;$&quot;* #,##0.000_);_(&quot;$&quot;* \(#,##0.000\);_(&quot;$&quot;* &quot;-&quot;??_);_(@_)"/>
    <numFmt numFmtId="170" formatCode="[$-F400]h:mm:ss\ AM/PM"/>
    <numFmt numFmtId="173" formatCode="[$-409]h:mm\ AM/PM;@"/>
    <numFmt numFmtId="178" formatCode="&quot;$&quot;#,##0.00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2"/>
      <color theme="1"/>
      <name val="Calibri (Body)"/>
    </font>
    <font>
      <sz val="12"/>
      <color rgb="FF3F3F76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u/>
      <sz val="10"/>
      <color theme="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i/>
      <sz val="10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i/>
      <sz val="10"/>
      <name val="Calibri"/>
      <family val="2"/>
    </font>
    <font>
      <sz val="10"/>
      <color rgb="FF3F3F76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theme="0" tint="-0.499984740745262"/>
      <name val="Calibri"/>
      <family val="2"/>
    </font>
    <font>
      <b/>
      <u/>
      <sz val="10"/>
      <name val="Calibri"/>
      <family val="2"/>
    </font>
    <font>
      <sz val="8"/>
      <name val="Calibri"/>
      <family val="2"/>
      <scheme val="minor"/>
    </font>
    <font>
      <sz val="10"/>
      <color rgb="FF9C0006"/>
      <name val="Calibri"/>
      <family val="2"/>
    </font>
    <font>
      <sz val="10"/>
      <color rgb="FF000000"/>
      <name val="Calibri"/>
      <family val="2"/>
    </font>
    <font>
      <b/>
      <sz val="10"/>
      <color rgb="FF9C0006"/>
      <name val="Calibri"/>
      <family val="2"/>
    </font>
    <font>
      <b/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color rgb="FF000000"/>
      <name val="Calibri"/>
      <family val="2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7" borderId="36" applyNumberFormat="0" applyAlignment="0" applyProtection="0"/>
    <xf numFmtId="0" fontId="1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</cellStyleXfs>
  <cellXfs count="53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2" applyFont="1"/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/>
    </xf>
    <xf numFmtId="5" fontId="5" fillId="0" borderId="0" xfId="0" applyNumberFormat="1" applyFont="1" applyAlignment="1">
      <alignment horizontal="center"/>
    </xf>
    <xf numFmtId="5" fontId="5" fillId="0" borderId="12" xfId="0" applyNumberFormat="1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9" fontId="0" fillId="0" borderId="2" xfId="3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3" xfId="3" applyFon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3" fontId="2" fillId="2" borderId="34" xfId="4" applyNumberFormat="1" applyBorder="1" applyAlignment="1">
      <alignment horizontal="center"/>
    </xf>
    <xf numFmtId="3" fontId="3" fillId="3" borderId="34" xfId="5" applyNumberFormat="1" applyBorder="1" applyAlignment="1">
      <alignment horizontal="center"/>
    </xf>
    <xf numFmtId="3" fontId="1" fillId="5" borderId="34" xfId="7" applyNumberFormat="1" applyBorder="1" applyAlignment="1">
      <alignment horizontal="center"/>
    </xf>
    <xf numFmtId="3" fontId="4" fillId="4" borderId="34" xfId="6" applyNumberForma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5" fontId="0" fillId="0" borderId="0" xfId="2" applyNumberFormat="1" applyFont="1" applyBorder="1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5" xfId="2" applyNumberFormat="1" applyFont="1" applyBorder="1" applyAlignment="1">
      <alignment horizontal="center"/>
    </xf>
    <xf numFmtId="5" fontId="0" fillId="0" borderId="3" xfId="2" applyNumberFormat="1" applyFont="1" applyBorder="1" applyAlignment="1">
      <alignment horizontal="center"/>
    </xf>
    <xf numFmtId="5" fontId="5" fillId="0" borderId="15" xfId="0" applyNumberFormat="1" applyFont="1" applyBorder="1" applyAlignment="1">
      <alignment horizontal="center"/>
    </xf>
    <xf numFmtId="5" fontId="5" fillId="0" borderId="4" xfId="0" applyNumberFormat="1" applyFont="1" applyBorder="1" applyAlignment="1">
      <alignment horizontal="center"/>
    </xf>
    <xf numFmtId="1" fontId="0" fillId="0" borderId="0" xfId="0" applyNumberFormat="1"/>
    <xf numFmtId="43" fontId="0" fillId="0" borderId="0" xfId="1" applyFont="1"/>
    <xf numFmtId="44" fontId="0" fillId="0" borderId="0" xfId="0" applyNumberFormat="1"/>
    <xf numFmtId="5" fontId="0" fillId="0" borderId="5" xfId="0" applyNumberFormat="1" applyBorder="1" applyAlignment="1">
      <alignment horizontal="center"/>
    </xf>
    <xf numFmtId="5" fontId="0" fillId="0" borderId="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5" fontId="0" fillId="0" borderId="11" xfId="0" applyNumberForma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12" borderId="0" xfId="0" applyFont="1" applyFill="1"/>
    <xf numFmtId="0" fontId="10" fillId="0" borderId="0" xfId="0" applyFont="1"/>
    <xf numFmtId="0" fontId="11" fillId="12" borderId="0" xfId="0" applyFont="1" applyFill="1"/>
    <xf numFmtId="0" fontId="11" fillId="0" borderId="0" xfId="0" applyFont="1" applyAlignment="1">
      <alignment horizontal="center"/>
    </xf>
    <xf numFmtId="0" fontId="10" fillId="12" borderId="16" xfId="0" applyFont="1" applyFill="1" applyBorder="1"/>
    <xf numFmtId="0" fontId="11" fillId="12" borderId="2" xfId="0" quotePrefix="1" applyFont="1" applyFill="1" applyBorder="1" applyAlignment="1">
      <alignment horizontal="center"/>
    </xf>
    <xf numFmtId="0" fontId="11" fillId="12" borderId="3" xfId="0" quotePrefix="1" applyFont="1" applyFill="1" applyBorder="1" applyAlignment="1">
      <alignment horizontal="center"/>
    </xf>
    <xf numFmtId="164" fontId="11" fillId="13" borderId="2" xfId="0" applyNumberFormat="1" applyFont="1" applyFill="1" applyBorder="1" applyAlignment="1">
      <alignment horizontal="center" wrapText="1"/>
    </xf>
    <xf numFmtId="0" fontId="11" fillId="13" borderId="1" xfId="0" applyFont="1" applyFill="1" applyBorder="1" applyAlignment="1">
      <alignment horizontal="center"/>
    </xf>
    <xf numFmtId="0" fontId="12" fillId="0" borderId="30" xfId="0" applyFont="1" applyBorder="1"/>
    <xf numFmtId="0" fontId="10" fillId="12" borderId="35" xfId="0" applyFont="1" applyFill="1" applyBorder="1"/>
    <xf numFmtId="0" fontId="10" fillId="13" borderId="35" xfId="0" applyFont="1" applyFill="1" applyBorder="1"/>
    <xf numFmtId="0" fontId="10" fillId="13" borderId="0" xfId="0" applyFont="1" applyFill="1"/>
    <xf numFmtId="0" fontId="10" fillId="13" borderId="31" xfId="0" applyFont="1" applyFill="1" applyBorder="1"/>
    <xf numFmtId="0" fontId="10" fillId="13" borderId="16" xfId="0" applyFont="1" applyFill="1" applyBorder="1"/>
    <xf numFmtId="0" fontId="13" fillId="0" borderId="30" xfId="0" applyFont="1" applyBorder="1"/>
    <xf numFmtId="0" fontId="10" fillId="13" borderId="30" xfId="0" applyFont="1" applyFill="1" applyBorder="1"/>
    <xf numFmtId="44" fontId="10" fillId="12" borderId="35" xfId="2" applyFont="1" applyFill="1" applyBorder="1"/>
    <xf numFmtId="44" fontId="10" fillId="12" borderId="0" xfId="2" quotePrefix="1" applyFont="1" applyFill="1" applyBorder="1"/>
    <xf numFmtId="44" fontId="14" fillId="13" borderId="0" xfId="2" applyFont="1" applyFill="1" applyBorder="1" applyAlignment="1">
      <alignment horizontal="center"/>
    </xf>
    <xf numFmtId="44" fontId="10" fillId="13" borderId="30" xfId="2" applyFont="1" applyFill="1" applyBorder="1" applyAlignment="1">
      <alignment horizontal="center"/>
    </xf>
    <xf numFmtId="0" fontId="14" fillId="14" borderId="1" xfId="2" applyNumberFormat="1" applyFont="1" applyFill="1" applyBorder="1" applyAlignment="1">
      <alignment horizontal="center"/>
    </xf>
    <xf numFmtId="0" fontId="15" fillId="13" borderId="0" xfId="2" applyNumberFormat="1" applyFont="1" applyFill="1" applyBorder="1" applyAlignment="1">
      <alignment horizontal="center"/>
    </xf>
    <xf numFmtId="44" fontId="14" fillId="14" borderId="2" xfId="2" applyFont="1" applyFill="1" applyBorder="1" applyAlignment="1">
      <alignment horizontal="center"/>
    </xf>
    <xf numFmtId="3" fontId="10" fillId="13" borderId="1" xfId="0" applyNumberFormat="1" applyFont="1" applyFill="1" applyBorder="1" applyAlignment="1">
      <alignment horizontal="center"/>
    </xf>
    <xf numFmtId="3" fontId="10" fillId="13" borderId="30" xfId="0" applyNumberFormat="1" applyFont="1" applyFill="1" applyBorder="1" applyAlignment="1">
      <alignment horizontal="center"/>
    </xf>
    <xf numFmtId="9" fontId="10" fillId="13" borderId="35" xfId="3" applyFont="1" applyFill="1" applyBorder="1" applyAlignment="1">
      <alignment horizontal="center"/>
    </xf>
    <xf numFmtId="9" fontId="10" fillId="13" borderId="0" xfId="3" applyFont="1" applyFill="1" applyBorder="1" applyAlignment="1">
      <alignment horizontal="center"/>
    </xf>
    <xf numFmtId="9" fontId="10" fillId="13" borderId="30" xfId="3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12" borderId="7" xfId="0" applyFont="1" applyFill="1" applyBorder="1"/>
    <xf numFmtId="3" fontId="11" fillId="13" borderId="5" xfId="0" applyNumberFormat="1" applyFont="1" applyFill="1" applyBorder="1" applyAlignment="1">
      <alignment horizontal="center"/>
    </xf>
    <xf numFmtId="3" fontId="11" fillId="13" borderId="16" xfId="0" applyNumberFormat="1" applyFont="1" applyFill="1" applyBorder="1" applyAlignment="1">
      <alignment horizontal="center"/>
    </xf>
    <xf numFmtId="3" fontId="14" fillId="14" borderId="1" xfId="0" applyNumberFormat="1" applyFont="1" applyFill="1" applyBorder="1" applyAlignment="1">
      <alignment horizontal="center"/>
    </xf>
    <xf numFmtId="166" fontId="14" fillId="12" borderId="0" xfId="2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4" fillId="0" borderId="0" xfId="3" applyNumberFormat="1" applyFont="1" applyFill="1" applyBorder="1" applyAlignment="1">
      <alignment horizontal="center" vertical="center"/>
    </xf>
    <xf numFmtId="9" fontId="10" fillId="12" borderId="0" xfId="9" applyNumberFormat="1" applyFont="1" applyFill="1" applyBorder="1" applyAlignment="1">
      <alignment horizontal="center" vertical="center"/>
    </xf>
    <xf numFmtId="7" fontId="17" fillId="12" borderId="0" xfId="10" applyNumberFormat="1" applyFont="1" applyFill="1" applyBorder="1" applyAlignment="1">
      <alignment horizontal="center" vertical="center"/>
    </xf>
    <xf numFmtId="0" fontId="0" fillId="12" borderId="0" xfId="0" applyFill="1"/>
    <xf numFmtId="44" fontId="18" fillId="12" borderId="0" xfId="2" applyFont="1" applyFill="1" applyBorder="1" applyAlignment="1">
      <alignment horizontal="center"/>
    </xf>
    <xf numFmtId="166" fontId="10" fillId="13" borderId="35" xfId="2" applyNumberFormat="1" applyFont="1" applyFill="1" applyBorder="1" applyAlignment="1">
      <alignment horizontal="center"/>
    </xf>
    <xf numFmtId="166" fontId="10" fillId="13" borderId="30" xfId="2" applyNumberFormat="1" applyFont="1" applyFill="1" applyBorder="1" applyAlignment="1">
      <alignment horizontal="center"/>
    </xf>
    <xf numFmtId="0" fontId="11" fillId="0" borderId="1" xfId="0" applyFont="1" applyBorder="1"/>
    <xf numFmtId="44" fontId="11" fillId="13" borderId="1" xfId="2" applyFont="1" applyFill="1" applyBorder="1" applyAlignment="1">
      <alignment horizontal="center"/>
    </xf>
    <xf numFmtId="0" fontId="10" fillId="13" borderId="5" xfId="0" applyFont="1" applyFill="1" applyBorder="1"/>
    <xf numFmtId="0" fontId="10" fillId="0" borderId="30" xfId="0" applyFont="1" applyBorder="1"/>
    <xf numFmtId="49" fontId="10" fillId="0" borderId="1" xfId="0" applyNumberFormat="1" applyFont="1" applyBorder="1" applyProtection="1">
      <protection locked="0"/>
    </xf>
    <xf numFmtId="0" fontId="10" fillId="12" borderId="31" xfId="0" quotePrefix="1" applyFont="1" applyFill="1" applyBorder="1"/>
    <xf numFmtId="0" fontId="10" fillId="12" borderId="0" xfId="0" quotePrefix="1" applyFont="1" applyFill="1"/>
    <xf numFmtId="0" fontId="10" fillId="0" borderId="1" xfId="0" applyFont="1" applyBorder="1"/>
    <xf numFmtId="0" fontId="10" fillId="12" borderId="2" xfId="0" applyFont="1" applyFill="1" applyBorder="1"/>
    <xf numFmtId="0" fontId="10" fillId="12" borderId="4" xfId="0" applyFont="1" applyFill="1" applyBorder="1"/>
    <xf numFmtId="0" fontId="10" fillId="12" borderId="3" xfId="0" applyFont="1" applyFill="1" applyBorder="1"/>
    <xf numFmtId="3" fontId="10" fillId="13" borderId="3" xfId="0" applyNumberFormat="1" applyFont="1" applyFill="1" applyBorder="1" applyAlignment="1">
      <alignment horizontal="center"/>
    </xf>
    <xf numFmtId="3" fontId="10" fillId="13" borderId="4" xfId="0" applyNumberFormat="1" applyFont="1" applyFill="1" applyBorder="1" applyAlignment="1">
      <alignment horizontal="center"/>
    </xf>
    <xf numFmtId="0" fontId="10" fillId="12" borderId="14" xfId="0" applyFont="1" applyFill="1" applyBorder="1"/>
    <xf numFmtId="0" fontId="10" fillId="12" borderId="15" xfId="0" applyFont="1" applyFill="1" applyBorder="1"/>
    <xf numFmtId="0" fontId="10" fillId="12" borderId="31" xfId="0" applyFont="1" applyFill="1" applyBorder="1"/>
    <xf numFmtId="0" fontId="10" fillId="12" borderId="30" xfId="0" applyFont="1" applyFill="1" applyBorder="1"/>
    <xf numFmtId="166" fontId="11" fillId="13" borderId="1" xfId="2" applyNumberFormat="1" applyFont="1" applyFill="1" applyBorder="1" applyAlignment="1">
      <alignment horizontal="center"/>
    </xf>
    <xf numFmtId="168" fontId="19" fillId="0" borderId="30" xfId="0" applyNumberFormat="1" applyFont="1" applyBorder="1" applyAlignment="1">
      <alignment horizontal="left"/>
    </xf>
    <xf numFmtId="168" fontId="20" fillId="0" borderId="30" xfId="0" applyNumberFormat="1" applyFont="1" applyBorder="1" applyAlignment="1">
      <alignment horizontal="left" indent="1"/>
    </xf>
    <xf numFmtId="166" fontId="10" fillId="13" borderId="0" xfId="2" applyNumberFormat="1" applyFont="1" applyFill="1" applyBorder="1" applyAlignment="1">
      <alignment horizontal="center"/>
    </xf>
    <xf numFmtId="166" fontId="10" fillId="13" borderId="31" xfId="2" applyNumberFormat="1" applyFont="1" applyFill="1" applyBorder="1" applyAlignment="1">
      <alignment horizontal="center"/>
    </xf>
    <xf numFmtId="166" fontId="10" fillId="13" borderId="30" xfId="2" applyNumberFormat="1" applyFont="1" applyFill="1" applyBorder="1"/>
    <xf numFmtId="0" fontId="10" fillId="0" borderId="30" xfId="0" applyFont="1" applyBorder="1" applyAlignment="1" applyProtection="1">
      <alignment horizontal="left" indent="1"/>
      <protection locked="0"/>
    </xf>
    <xf numFmtId="169" fontId="14" fillId="14" borderId="2" xfId="2" applyNumberFormat="1" applyFont="1" applyFill="1" applyBorder="1" applyAlignment="1">
      <alignment horizontal="center"/>
    </xf>
    <xf numFmtId="0" fontId="16" fillId="12" borderId="0" xfId="0" applyFont="1" applyFill="1"/>
    <xf numFmtId="0" fontId="10" fillId="0" borderId="30" xfId="0" applyFont="1" applyBorder="1" applyAlignment="1" applyProtection="1">
      <alignment horizontal="left" wrapText="1" indent="1"/>
      <protection locked="0"/>
    </xf>
    <xf numFmtId="166" fontId="22" fillId="13" borderId="1" xfId="2" applyNumberFormat="1" applyFont="1" applyFill="1" applyBorder="1" applyAlignment="1">
      <alignment horizontal="center"/>
    </xf>
    <xf numFmtId="9" fontId="16" fillId="13" borderId="0" xfId="3" applyFont="1" applyFill="1" applyBorder="1" applyAlignment="1">
      <alignment horizontal="center"/>
    </xf>
    <xf numFmtId="9" fontId="16" fillId="13" borderId="31" xfId="3" applyFont="1" applyFill="1" applyBorder="1" applyAlignment="1">
      <alignment horizontal="center"/>
    </xf>
    <xf numFmtId="9" fontId="16" fillId="13" borderId="30" xfId="3" applyFont="1" applyFill="1" applyBorder="1" applyAlignment="1">
      <alignment horizontal="center"/>
    </xf>
    <xf numFmtId="166" fontId="10" fillId="13" borderId="0" xfId="2" applyNumberFormat="1" applyFont="1" applyFill="1" applyBorder="1"/>
    <xf numFmtId="166" fontId="10" fillId="13" borderId="31" xfId="2" applyNumberFormat="1" applyFont="1" applyFill="1" applyBorder="1"/>
    <xf numFmtId="168" fontId="18" fillId="0" borderId="30" xfId="0" applyNumberFormat="1" applyFont="1" applyBorder="1" applyAlignment="1">
      <alignment horizontal="left" indent="1"/>
    </xf>
    <xf numFmtId="166" fontId="14" fillId="14" borderId="1" xfId="2" applyNumberFormat="1" applyFont="1" applyFill="1" applyBorder="1" applyAlignment="1">
      <alignment horizontal="center"/>
    </xf>
    <xf numFmtId="3" fontId="14" fillId="14" borderId="30" xfId="0" applyNumberFormat="1" applyFont="1" applyFill="1" applyBorder="1" applyAlignment="1">
      <alignment horizontal="center"/>
    </xf>
    <xf numFmtId="168" fontId="10" fillId="0" borderId="30" xfId="0" applyNumberFormat="1" applyFont="1" applyBorder="1" applyAlignment="1">
      <alignment horizontal="left" indent="1"/>
    </xf>
    <xf numFmtId="166" fontId="14" fillId="14" borderId="2" xfId="2" applyNumberFormat="1" applyFont="1" applyFill="1" applyBorder="1" applyAlignment="1">
      <alignment horizontal="center"/>
    </xf>
    <xf numFmtId="44" fontId="14" fillId="14" borderId="30" xfId="2" applyFont="1" applyFill="1" applyBorder="1" applyAlignment="1">
      <alignment horizontal="center"/>
    </xf>
    <xf numFmtId="0" fontId="10" fillId="12" borderId="30" xfId="0" quotePrefix="1" applyFont="1" applyFill="1" applyBorder="1"/>
    <xf numFmtId="166" fontId="14" fillId="13" borderId="0" xfId="2" applyNumberFormat="1" applyFont="1" applyFill="1" applyBorder="1" applyAlignment="1">
      <alignment horizontal="center"/>
    </xf>
    <xf numFmtId="0" fontId="10" fillId="0" borderId="30" xfId="0" applyFont="1" applyBorder="1" applyAlignment="1">
      <alignment horizontal="left" indent="1"/>
    </xf>
    <xf numFmtId="9" fontId="14" fillId="14" borderId="2" xfId="0" applyNumberFormat="1" applyFont="1" applyFill="1" applyBorder="1" applyAlignment="1">
      <alignment horizontal="center"/>
    </xf>
    <xf numFmtId="9" fontId="14" fillId="14" borderId="30" xfId="0" applyNumberFormat="1" applyFont="1" applyFill="1" applyBorder="1" applyAlignment="1">
      <alignment horizontal="center"/>
    </xf>
    <xf numFmtId="166" fontId="23" fillId="13" borderId="1" xfId="2" applyNumberFormat="1" applyFont="1" applyFill="1" applyBorder="1" applyAlignment="1">
      <alignment horizontal="center"/>
    </xf>
    <xf numFmtId="3" fontId="10" fillId="13" borderId="0" xfId="0" applyNumberFormat="1" applyFont="1" applyFill="1" applyAlignment="1">
      <alignment horizontal="center"/>
    </xf>
    <xf numFmtId="44" fontId="10" fillId="12" borderId="35" xfId="0" applyNumberFormat="1" applyFont="1" applyFill="1" applyBorder="1"/>
    <xf numFmtId="9" fontId="16" fillId="13" borderId="0" xfId="0" applyNumberFormat="1" applyFont="1" applyFill="1" applyAlignment="1">
      <alignment horizontal="center"/>
    </xf>
    <xf numFmtId="9" fontId="16" fillId="13" borderId="31" xfId="0" applyNumberFormat="1" applyFont="1" applyFill="1" applyBorder="1" applyAlignment="1">
      <alignment horizontal="center"/>
    </xf>
    <xf numFmtId="9" fontId="16" fillId="13" borderId="30" xfId="0" applyNumberFormat="1" applyFont="1" applyFill="1" applyBorder="1" applyAlignment="1">
      <alignment horizontal="center"/>
    </xf>
    <xf numFmtId="10" fontId="14" fillId="14" borderId="1" xfId="0" applyNumberFormat="1" applyFont="1" applyFill="1" applyBorder="1" applyAlignment="1">
      <alignment horizontal="center"/>
    </xf>
    <xf numFmtId="0" fontId="10" fillId="0" borderId="16" xfId="0" applyFont="1" applyBorder="1"/>
    <xf numFmtId="44" fontId="18" fillId="13" borderId="0" xfId="2" applyFont="1" applyFill="1" applyAlignment="1">
      <alignment horizontal="center"/>
    </xf>
    <xf numFmtId="44" fontId="18" fillId="13" borderId="30" xfId="2" applyFont="1" applyFill="1" applyBorder="1" applyAlignment="1">
      <alignment horizontal="center"/>
    </xf>
    <xf numFmtId="0" fontId="18" fillId="0" borderId="30" xfId="0" applyFont="1" applyBorder="1"/>
    <xf numFmtId="9" fontId="14" fillId="14" borderId="1" xfId="0" applyNumberFormat="1" applyFont="1" applyFill="1" applyBorder="1" applyAlignment="1">
      <alignment horizontal="center"/>
    </xf>
    <xf numFmtId="0" fontId="18" fillId="0" borderId="1" xfId="0" applyFont="1" applyBorder="1"/>
    <xf numFmtId="44" fontId="18" fillId="13" borderId="3" xfId="2" applyFont="1" applyFill="1" applyBorder="1" applyAlignment="1">
      <alignment horizontal="center"/>
    </xf>
    <xf numFmtId="44" fontId="18" fillId="13" borderId="1" xfId="2" applyFont="1" applyFill="1" applyBorder="1" applyAlignment="1">
      <alignment horizontal="center"/>
    </xf>
    <xf numFmtId="0" fontId="18" fillId="0" borderId="16" xfId="0" applyFont="1" applyBorder="1" applyAlignment="1">
      <alignment horizontal="left" indent="1"/>
    </xf>
    <xf numFmtId="0" fontId="24" fillId="12" borderId="35" xfId="0" applyFont="1" applyFill="1" applyBorder="1"/>
    <xf numFmtId="0" fontId="24" fillId="12" borderId="31" xfId="0" applyFont="1" applyFill="1" applyBorder="1"/>
    <xf numFmtId="44" fontId="24" fillId="13" borderId="0" xfId="2" applyFont="1" applyFill="1" applyAlignment="1">
      <alignment horizontal="center"/>
    </xf>
    <xf numFmtId="44" fontId="24" fillId="13" borderId="30" xfId="2" applyFont="1" applyFill="1" applyBorder="1" applyAlignment="1">
      <alignment horizontal="center"/>
    </xf>
    <xf numFmtId="44" fontId="10" fillId="13" borderId="0" xfId="2" applyFont="1" applyFill="1"/>
    <xf numFmtId="44" fontId="10" fillId="13" borderId="30" xfId="2" applyFont="1" applyFill="1" applyBorder="1"/>
    <xf numFmtId="0" fontId="25" fillId="12" borderId="30" xfId="0" applyFont="1" applyFill="1" applyBorder="1"/>
    <xf numFmtId="0" fontId="18" fillId="13" borderId="0" xfId="0" applyFont="1" applyFill="1" applyAlignment="1">
      <alignment horizontal="center"/>
    </xf>
    <xf numFmtId="0" fontId="18" fillId="13" borderId="30" xfId="0" applyFont="1" applyFill="1" applyBorder="1" applyAlignment="1">
      <alignment horizontal="center"/>
    </xf>
    <xf numFmtId="3" fontId="18" fillId="13" borderId="0" xfId="0" applyNumberFormat="1" applyFont="1" applyFill="1" applyAlignment="1">
      <alignment horizontal="center"/>
    </xf>
    <xf numFmtId="3" fontId="18" fillId="13" borderId="30" xfId="0" applyNumberFormat="1" applyFont="1" applyFill="1" applyBorder="1" applyAlignment="1">
      <alignment horizontal="center"/>
    </xf>
    <xf numFmtId="3" fontId="18" fillId="13" borderId="3" xfId="0" applyNumberFormat="1" applyFont="1" applyFill="1" applyBorder="1" applyAlignment="1">
      <alignment horizontal="center"/>
    </xf>
    <xf numFmtId="3" fontId="18" fillId="13" borderId="1" xfId="0" applyNumberFormat="1" applyFont="1" applyFill="1" applyBorder="1" applyAlignment="1">
      <alignment horizontal="center"/>
    </xf>
    <xf numFmtId="9" fontId="14" fillId="14" borderId="1" xfId="3" applyFont="1" applyFill="1" applyBorder="1" applyAlignment="1">
      <alignment horizontal="center"/>
    </xf>
    <xf numFmtId="3" fontId="14" fillId="13" borderId="0" xfId="0" applyNumberFormat="1" applyFont="1" applyFill="1" applyAlignment="1">
      <alignment horizontal="center"/>
    </xf>
    <xf numFmtId="10" fontId="14" fillId="14" borderId="1" xfId="3" applyNumberFormat="1" applyFont="1" applyFill="1" applyBorder="1" applyAlignment="1">
      <alignment horizontal="center"/>
    </xf>
    <xf numFmtId="0" fontId="13" fillId="0" borderId="35" xfId="0" applyFont="1" applyBorder="1"/>
    <xf numFmtId="44" fontId="10" fillId="0" borderId="35" xfId="2" applyFont="1" applyFill="1" applyBorder="1" applyAlignment="1">
      <alignment horizontal="left"/>
    </xf>
    <xf numFmtId="44" fontId="10" fillId="12" borderId="0" xfId="2" applyFont="1" applyFill="1" applyBorder="1"/>
    <xf numFmtId="165" fontId="14" fillId="12" borderId="0" xfId="0" applyNumberFormat="1" applyFont="1" applyFill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0" fontId="15" fillId="13" borderId="35" xfId="2" applyNumberFormat="1" applyFont="1" applyFill="1" applyBorder="1" applyAlignment="1">
      <alignment horizontal="center"/>
    </xf>
    <xf numFmtId="3" fontId="11" fillId="13" borderId="0" xfId="0" applyNumberFormat="1" applyFont="1" applyFill="1" applyAlignment="1">
      <alignment horizontal="center"/>
    </xf>
    <xf numFmtId="0" fontId="11" fillId="12" borderId="0" xfId="0" quotePrefix="1" applyFont="1" applyFill="1"/>
    <xf numFmtId="9" fontId="11" fillId="12" borderId="0" xfId="3" quotePrefix="1" applyFont="1" applyFill="1" applyBorder="1"/>
    <xf numFmtId="3" fontId="11" fillId="13" borderId="30" xfId="0" applyNumberFormat="1" applyFont="1" applyFill="1" applyBorder="1" applyAlignment="1">
      <alignment horizontal="center"/>
    </xf>
    <xf numFmtId="0" fontId="11" fillId="12" borderId="7" xfId="0" quotePrefix="1" applyFont="1" applyFill="1" applyBorder="1"/>
    <xf numFmtId="3" fontId="11" fillId="13" borderId="14" xfId="0" applyNumberFormat="1" applyFont="1" applyFill="1" applyBorder="1" applyAlignment="1">
      <alignment horizontal="center"/>
    </xf>
    <xf numFmtId="9" fontId="11" fillId="12" borderId="8" xfId="3" quotePrefix="1" applyFont="1" applyFill="1" applyBorder="1"/>
    <xf numFmtId="9" fontId="11" fillId="13" borderId="0" xfId="3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44" fontId="10" fillId="0" borderId="31" xfId="2" applyFont="1" applyFill="1" applyBorder="1" applyAlignment="1">
      <alignment horizontal="center"/>
    </xf>
    <xf numFmtId="167" fontId="10" fillId="0" borderId="0" xfId="1" applyNumberFormat="1" applyFont="1" applyFill="1" applyBorder="1" applyAlignment="1">
      <alignment horizontal="center"/>
    </xf>
    <xf numFmtId="44" fontId="14" fillId="12" borderId="0" xfId="3" applyNumberFormat="1" applyFont="1" applyFill="1" applyBorder="1" applyAlignment="1">
      <alignment horizontal="center" vertical="center"/>
    </xf>
    <xf numFmtId="44" fontId="10" fillId="12" borderId="0" xfId="12" applyNumberFormat="1" applyFont="1" applyFill="1" applyBorder="1" applyAlignment="1">
      <alignment horizontal="center"/>
    </xf>
    <xf numFmtId="44" fontId="15" fillId="12" borderId="1" xfId="3" applyNumberFormat="1" applyFont="1" applyFill="1" applyBorder="1" applyAlignment="1">
      <alignment horizontal="center" vertical="center"/>
    </xf>
    <xf numFmtId="3" fontId="27" fillId="3" borderId="35" xfId="5" applyNumberFormat="1" applyFont="1" applyBorder="1" applyAlignment="1">
      <alignment horizontal="center"/>
    </xf>
    <xf numFmtId="3" fontId="27" fillId="3" borderId="0" xfId="5" applyNumberFormat="1" applyFont="1" applyBorder="1" applyAlignment="1">
      <alignment horizontal="center"/>
    </xf>
    <xf numFmtId="3" fontId="27" fillId="3" borderId="9" xfId="5" applyNumberFormat="1" applyFont="1" applyBorder="1" applyAlignment="1">
      <alignment horizontal="center"/>
    </xf>
    <xf numFmtId="0" fontId="28" fillId="12" borderId="35" xfId="0" applyFont="1" applyFill="1" applyBorder="1" applyAlignment="1">
      <alignment horizontal="left"/>
    </xf>
    <xf numFmtId="0" fontId="28" fillId="0" borderId="35" xfId="0" applyFont="1" applyBorder="1" applyAlignment="1">
      <alignment horizontal="left"/>
    </xf>
    <xf numFmtId="0" fontId="28" fillId="0" borderId="35" xfId="0" applyFont="1" applyBorder="1" applyAlignment="1">
      <alignment horizontal="right"/>
    </xf>
    <xf numFmtId="44" fontId="10" fillId="0" borderId="0" xfId="2" applyFont="1"/>
    <xf numFmtId="0" fontId="11" fillId="0" borderId="0" xfId="0" applyFont="1"/>
    <xf numFmtId="0" fontId="11" fillId="12" borderId="1" xfId="0" applyFont="1" applyFill="1" applyBorder="1" applyAlignment="1">
      <alignment horizontal="center"/>
    </xf>
    <xf numFmtId="0" fontId="10" fillId="5" borderId="1" xfId="7" applyNumberFormat="1" applyFont="1" applyBorder="1" applyAlignment="1">
      <alignment horizontal="center" vertical="center"/>
    </xf>
    <xf numFmtId="9" fontId="10" fillId="5" borderId="1" xfId="3" applyFont="1" applyFill="1" applyBorder="1" applyAlignment="1">
      <alignment horizontal="center" vertical="center"/>
    </xf>
    <xf numFmtId="1" fontId="10" fillId="5" borderId="0" xfId="7" applyNumberFormat="1" applyFont="1" applyBorder="1" applyAlignment="1">
      <alignment horizontal="center"/>
    </xf>
    <xf numFmtId="1" fontId="10" fillId="5" borderId="31" xfId="7" applyNumberFormat="1" applyFont="1" applyBorder="1" applyAlignment="1">
      <alignment horizontal="center"/>
    </xf>
    <xf numFmtId="0" fontId="27" fillId="3" borderId="1" xfId="5" applyNumberFormat="1" applyFont="1" applyBorder="1" applyAlignment="1">
      <alignment horizontal="center" vertical="center"/>
    </xf>
    <xf numFmtId="9" fontId="27" fillId="3" borderId="1" xfId="3" applyFont="1" applyFill="1" applyBorder="1" applyAlignment="1">
      <alignment horizontal="center" vertical="center"/>
    </xf>
    <xf numFmtId="1" fontId="27" fillId="3" borderId="0" xfId="5" applyNumberFormat="1" applyFont="1" applyBorder="1" applyAlignment="1">
      <alignment horizontal="center"/>
    </xf>
    <xf numFmtId="1" fontId="27" fillId="3" borderId="31" xfId="5" applyNumberFormat="1" applyFont="1" applyBorder="1" applyAlignment="1">
      <alignment horizontal="center"/>
    </xf>
    <xf numFmtId="0" fontId="10" fillId="10" borderId="1" xfId="11" applyNumberFormat="1" applyFont="1" applyBorder="1" applyAlignment="1">
      <alignment horizontal="center" vertical="center"/>
    </xf>
    <xf numFmtId="9" fontId="10" fillId="10" borderId="1" xfId="3" applyFont="1" applyFill="1" applyBorder="1" applyAlignment="1">
      <alignment horizontal="center" vertical="center"/>
    </xf>
    <xf numFmtId="1" fontId="10" fillId="10" borderId="0" xfId="11" applyNumberFormat="1" applyFont="1" applyBorder="1" applyAlignment="1">
      <alignment horizontal="center"/>
    </xf>
    <xf numFmtId="1" fontId="10" fillId="10" borderId="31" xfId="11" applyNumberFormat="1" applyFont="1" applyBorder="1" applyAlignment="1">
      <alignment horizontal="center"/>
    </xf>
    <xf numFmtId="9" fontId="10" fillId="10" borderId="4" xfId="3" applyFont="1" applyFill="1" applyBorder="1" applyAlignment="1">
      <alignment horizontal="center" vertical="center"/>
    </xf>
    <xf numFmtId="1" fontId="10" fillId="10" borderId="7" xfId="11" applyNumberFormat="1" applyFont="1" applyBorder="1" applyAlignment="1">
      <alignment horizontal="center"/>
    </xf>
    <xf numFmtId="1" fontId="10" fillId="10" borderId="8" xfId="11" applyNumberFormat="1" applyFont="1" applyBorder="1" applyAlignment="1">
      <alignment horizontal="center"/>
    </xf>
    <xf numFmtId="0" fontId="28" fillId="12" borderId="0" xfId="0" applyFont="1" applyFill="1" applyAlignment="1">
      <alignment horizontal="left"/>
    </xf>
    <xf numFmtId="0" fontId="11" fillId="12" borderId="0" xfId="0" applyFont="1" applyFill="1" applyAlignment="1">
      <alignment horizontal="center"/>
    </xf>
    <xf numFmtId="9" fontId="10" fillId="12" borderId="4" xfId="3" applyFont="1" applyFill="1" applyBorder="1" applyAlignment="1">
      <alignment horizontal="center" vertical="center"/>
    </xf>
    <xf numFmtId="0" fontId="10" fillId="12" borderId="0" xfId="7" applyNumberFormat="1" applyFont="1" applyFill="1" applyBorder="1" applyAlignment="1">
      <alignment horizontal="center" vertical="center"/>
    </xf>
    <xf numFmtId="0" fontId="27" fillId="12" borderId="0" xfId="5" applyNumberFormat="1" applyFont="1" applyFill="1" applyBorder="1" applyAlignment="1">
      <alignment horizontal="center" vertical="center"/>
    </xf>
    <xf numFmtId="0" fontId="10" fillId="12" borderId="0" xfId="11" applyNumberFormat="1" applyFont="1" applyFill="1" applyBorder="1" applyAlignment="1">
      <alignment horizontal="center" vertical="center"/>
    </xf>
    <xf numFmtId="0" fontId="28" fillId="12" borderId="0" xfId="0" applyFont="1" applyFill="1" applyAlignment="1">
      <alignment horizontal="right"/>
    </xf>
    <xf numFmtId="1" fontId="10" fillId="12" borderId="0" xfId="11" applyNumberFormat="1" applyFont="1" applyFill="1" applyBorder="1" applyAlignment="1">
      <alignment horizontal="center"/>
    </xf>
    <xf numFmtId="5" fontId="10" fillId="5" borderId="1" xfId="2" applyNumberFormat="1" applyFont="1" applyFill="1" applyBorder="1" applyAlignment="1">
      <alignment horizontal="center" vertical="center"/>
    </xf>
    <xf numFmtId="5" fontId="10" fillId="5" borderId="35" xfId="2" applyNumberFormat="1" applyFont="1" applyFill="1" applyBorder="1" applyAlignment="1">
      <alignment horizontal="center"/>
    </xf>
    <xf numFmtId="5" fontId="10" fillId="5" borderId="31" xfId="7" applyNumberFormat="1" applyFont="1" applyBorder="1" applyAlignment="1">
      <alignment horizontal="center"/>
    </xf>
    <xf numFmtId="5" fontId="10" fillId="5" borderId="35" xfId="7" applyNumberFormat="1" applyFont="1" applyBorder="1" applyAlignment="1">
      <alignment horizontal="center"/>
    </xf>
    <xf numFmtId="5" fontId="27" fillId="3" borderId="1" xfId="2" applyNumberFormat="1" applyFont="1" applyFill="1" applyBorder="1" applyAlignment="1">
      <alignment horizontal="center" vertical="center"/>
    </xf>
    <xf numFmtId="5" fontId="27" fillId="3" borderId="35" xfId="2" applyNumberFormat="1" applyFont="1" applyFill="1" applyBorder="1" applyAlignment="1">
      <alignment horizontal="center"/>
    </xf>
    <xf numFmtId="5" fontId="27" fillId="3" borderId="31" xfId="5" applyNumberFormat="1" applyFont="1" applyBorder="1" applyAlignment="1">
      <alignment horizontal="center"/>
    </xf>
    <xf numFmtId="5" fontId="27" fillId="3" borderId="35" xfId="5" applyNumberFormat="1" applyFont="1" applyBorder="1" applyAlignment="1">
      <alignment horizontal="center"/>
    </xf>
    <xf numFmtId="5" fontId="10" fillId="10" borderId="1" xfId="2" applyNumberFormat="1" applyFont="1" applyFill="1" applyBorder="1" applyAlignment="1">
      <alignment horizontal="center" vertical="center"/>
    </xf>
    <xf numFmtId="5" fontId="10" fillId="10" borderId="35" xfId="2" applyNumberFormat="1" applyFont="1" applyFill="1" applyBorder="1" applyAlignment="1">
      <alignment horizontal="center"/>
    </xf>
    <xf numFmtId="5" fontId="10" fillId="10" borderId="31" xfId="11" applyNumberFormat="1" applyFont="1" applyBorder="1" applyAlignment="1">
      <alignment horizontal="center"/>
    </xf>
    <xf numFmtId="5" fontId="10" fillId="10" borderId="6" xfId="11" applyNumberFormat="1" applyFont="1" applyBorder="1" applyAlignment="1">
      <alignment horizontal="center"/>
    </xf>
    <xf numFmtId="5" fontId="10" fillId="5" borderId="0" xfId="2" applyNumberFormat="1" applyFont="1" applyFill="1" applyBorder="1" applyAlignment="1">
      <alignment horizontal="center"/>
    </xf>
    <xf numFmtId="5" fontId="27" fillId="3" borderId="0" xfId="2" applyNumberFormat="1" applyFont="1" applyFill="1" applyBorder="1" applyAlignment="1">
      <alignment horizontal="center"/>
    </xf>
    <xf numFmtId="5" fontId="10" fillId="10" borderId="0" xfId="2" applyNumberFormat="1" applyFont="1" applyFill="1" applyBorder="1" applyAlignment="1">
      <alignment horizontal="center"/>
    </xf>
    <xf numFmtId="5" fontId="10" fillId="5" borderId="31" xfId="2" applyNumberFormat="1" applyFont="1" applyFill="1" applyBorder="1" applyAlignment="1">
      <alignment horizontal="center"/>
    </xf>
    <xf numFmtId="5" fontId="27" fillId="3" borderId="31" xfId="2" applyNumberFormat="1" applyFont="1" applyFill="1" applyBorder="1" applyAlignment="1">
      <alignment horizontal="center"/>
    </xf>
    <xf numFmtId="5" fontId="10" fillId="10" borderId="31" xfId="2" applyNumberFormat="1" applyFont="1" applyFill="1" applyBorder="1" applyAlignment="1">
      <alignment horizontal="center"/>
    </xf>
    <xf numFmtId="5" fontId="11" fillId="5" borderId="0" xfId="7" applyNumberFormat="1" applyFont="1" applyBorder="1" applyAlignment="1">
      <alignment horizontal="center"/>
    </xf>
    <xf numFmtId="5" fontId="11" fillId="5" borderId="31" xfId="7" applyNumberFormat="1" applyFont="1" applyBorder="1" applyAlignment="1">
      <alignment horizontal="center"/>
    </xf>
    <xf numFmtId="5" fontId="29" fillId="3" borderId="0" xfId="5" applyNumberFormat="1" applyFont="1" applyBorder="1" applyAlignment="1">
      <alignment horizontal="center"/>
    </xf>
    <xf numFmtId="5" fontId="29" fillId="3" borderId="31" xfId="5" applyNumberFormat="1" applyFont="1" applyBorder="1" applyAlignment="1">
      <alignment horizontal="center"/>
    </xf>
    <xf numFmtId="5" fontId="11" fillId="10" borderId="7" xfId="11" applyNumberFormat="1" applyFont="1" applyBorder="1" applyAlignment="1">
      <alignment horizontal="center"/>
    </xf>
    <xf numFmtId="5" fontId="11" fillId="10" borderId="8" xfId="11" applyNumberFormat="1" applyFont="1" applyBorder="1" applyAlignment="1">
      <alignment horizontal="center"/>
    </xf>
    <xf numFmtId="9" fontId="18" fillId="12" borderId="0" xfId="3" applyFont="1" applyFill="1" applyBorder="1" applyAlignment="1">
      <alignment horizontal="center"/>
    </xf>
    <xf numFmtId="0" fontId="11" fillId="12" borderId="6" xfId="0" applyFont="1" applyFill="1" applyBorder="1"/>
    <xf numFmtId="0" fontId="10" fillId="12" borderId="0" xfId="0" applyFont="1" applyFill="1" applyAlignment="1">
      <alignment horizontal="left"/>
    </xf>
    <xf numFmtId="44" fontId="17" fillId="12" borderId="0" xfId="2" applyFont="1" applyFill="1" applyBorder="1" applyAlignment="1">
      <alignment horizontal="center"/>
    </xf>
    <xf numFmtId="166" fontId="10" fillId="12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15" borderId="14" xfId="0" applyFont="1" applyFill="1" applyBorder="1"/>
    <xf numFmtId="0" fontId="10" fillId="15" borderId="5" xfId="0" applyFont="1" applyFill="1" applyBorder="1" applyAlignment="1">
      <alignment horizontal="center"/>
    </xf>
    <xf numFmtId="1" fontId="10" fillId="15" borderId="5" xfId="0" applyNumberFormat="1" applyFont="1" applyFill="1" applyBorder="1" applyAlignment="1">
      <alignment horizontal="center"/>
    </xf>
    <xf numFmtId="0" fontId="10" fillId="15" borderId="35" xfId="0" applyFont="1" applyFill="1" applyBorder="1" applyAlignment="1">
      <alignment horizontal="right"/>
    </xf>
    <xf numFmtId="0" fontId="10" fillId="15" borderId="0" xfId="0" applyFont="1" applyFill="1" applyAlignment="1">
      <alignment horizontal="center"/>
    </xf>
    <xf numFmtId="1" fontId="10" fillId="15" borderId="0" xfId="0" applyNumberFormat="1" applyFont="1" applyFill="1" applyAlignment="1">
      <alignment horizontal="center"/>
    </xf>
    <xf numFmtId="0" fontId="10" fillId="15" borderId="0" xfId="0" applyFont="1" applyFill="1"/>
    <xf numFmtId="0" fontId="10" fillId="15" borderId="6" xfId="0" applyFont="1" applyFill="1" applyBorder="1" applyAlignment="1">
      <alignment horizontal="right"/>
    </xf>
    <xf numFmtId="0" fontId="10" fillId="15" borderId="7" xfId="0" applyFont="1" applyFill="1" applyBorder="1" applyAlignment="1">
      <alignment horizontal="center"/>
    </xf>
    <xf numFmtId="0" fontId="10" fillId="15" borderId="7" xfId="0" applyFont="1" applyFill="1" applyBorder="1"/>
    <xf numFmtId="0" fontId="10" fillId="18" borderId="14" xfId="0" applyFont="1" applyFill="1" applyBorder="1"/>
    <xf numFmtId="0" fontId="10" fillId="18" borderId="5" xfId="0" applyFont="1" applyFill="1" applyBorder="1" applyAlignment="1">
      <alignment horizontal="center"/>
    </xf>
    <xf numFmtId="1" fontId="10" fillId="18" borderId="5" xfId="0" applyNumberFormat="1" applyFont="1" applyFill="1" applyBorder="1" applyAlignment="1">
      <alignment horizontal="center"/>
    </xf>
    <xf numFmtId="0" fontId="10" fillId="18" borderId="35" xfId="0" applyFont="1" applyFill="1" applyBorder="1" applyAlignment="1">
      <alignment horizontal="right"/>
    </xf>
    <xf numFmtId="0" fontId="10" fillId="18" borderId="0" xfId="0" applyFont="1" applyFill="1" applyAlignment="1">
      <alignment horizontal="center"/>
    </xf>
    <xf numFmtId="1" fontId="10" fillId="18" borderId="0" xfId="0" applyNumberFormat="1" applyFont="1" applyFill="1" applyAlignment="1">
      <alignment horizontal="center"/>
    </xf>
    <xf numFmtId="0" fontId="10" fillId="18" borderId="0" xfId="0" applyFont="1" applyFill="1"/>
    <xf numFmtId="0" fontId="10" fillId="18" borderId="6" xfId="0" applyFont="1" applyFill="1" applyBorder="1" applyAlignment="1">
      <alignment horizontal="right"/>
    </xf>
    <xf numFmtId="0" fontId="10" fillId="18" borderId="7" xfId="0" applyFont="1" applyFill="1" applyBorder="1" applyAlignment="1">
      <alignment horizontal="center"/>
    </xf>
    <xf numFmtId="1" fontId="10" fillId="18" borderId="7" xfId="0" applyNumberFormat="1" applyFont="1" applyFill="1" applyBorder="1" applyAlignment="1">
      <alignment horizontal="center"/>
    </xf>
    <xf numFmtId="0" fontId="10" fillId="18" borderId="7" xfId="0" applyFont="1" applyFill="1" applyBorder="1"/>
    <xf numFmtId="3" fontId="11" fillId="15" borderId="15" xfId="0" applyNumberFormat="1" applyFont="1" applyFill="1" applyBorder="1" applyAlignment="1">
      <alignment horizontal="center"/>
    </xf>
    <xf numFmtId="3" fontId="11" fillId="18" borderId="15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9" fontId="10" fillId="0" borderId="0" xfId="3" applyFont="1" applyAlignment="1">
      <alignment horizontal="center"/>
    </xf>
    <xf numFmtId="3" fontId="10" fillId="15" borderId="31" xfId="0" applyNumberFormat="1" applyFont="1" applyFill="1" applyBorder="1" applyAlignment="1">
      <alignment horizontal="center"/>
    </xf>
    <xf numFmtId="3" fontId="10" fillId="18" borderId="31" xfId="0" applyNumberFormat="1" applyFont="1" applyFill="1" applyBorder="1" applyAlignment="1">
      <alignment horizontal="center"/>
    </xf>
    <xf numFmtId="3" fontId="10" fillId="18" borderId="8" xfId="0" applyNumberFormat="1" applyFont="1" applyFill="1" applyBorder="1" applyAlignment="1">
      <alignment horizontal="center"/>
    </xf>
    <xf numFmtId="0" fontId="11" fillId="12" borderId="35" xfId="0" applyFont="1" applyFill="1" applyBorder="1"/>
    <xf numFmtId="0" fontId="13" fillId="12" borderId="0" xfId="0" applyFont="1" applyFill="1"/>
    <xf numFmtId="9" fontId="10" fillId="12" borderId="0" xfId="3" applyFont="1" applyFill="1" applyBorder="1"/>
    <xf numFmtId="0" fontId="12" fillId="12" borderId="0" xfId="0" applyFont="1" applyFill="1"/>
    <xf numFmtId="3" fontId="11" fillId="13" borderId="1" xfId="2" applyNumberFormat="1" applyFont="1" applyFill="1" applyBorder="1" applyAlignment="1">
      <alignment horizontal="center"/>
    </xf>
    <xf numFmtId="5" fontId="11" fillId="13" borderId="1" xfId="2" applyNumberFormat="1" applyFont="1" applyFill="1" applyBorder="1" applyAlignment="1">
      <alignment horizontal="center"/>
    </xf>
    <xf numFmtId="5" fontId="14" fillId="14" borderId="0" xfId="3" applyNumberFormat="1" applyFont="1" applyFill="1" applyBorder="1" applyAlignment="1">
      <alignment horizontal="center" vertical="center"/>
    </xf>
    <xf numFmtId="5" fontId="10" fillId="11" borderId="1" xfId="12" applyNumberFormat="1" applyFont="1" applyBorder="1" applyAlignment="1">
      <alignment horizontal="center"/>
    </xf>
    <xf numFmtId="3" fontId="10" fillId="13" borderId="31" xfId="0" applyNumberFormat="1" applyFont="1" applyFill="1" applyBorder="1" applyAlignment="1">
      <alignment horizontal="center"/>
    </xf>
    <xf numFmtId="3" fontId="10" fillId="13" borderId="6" xfId="0" applyNumberFormat="1" applyFont="1" applyFill="1" applyBorder="1" applyAlignment="1">
      <alignment horizontal="center"/>
    </xf>
    <xf numFmtId="3" fontId="10" fillId="13" borderId="7" xfId="0" applyNumberFormat="1" applyFont="1" applyFill="1" applyBorder="1" applyAlignment="1">
      <alignment horizontal="center"/>
    </xf>
    <xf numFmtId="3" fontId="10" fillId="13" borderId="8" xfId="0" applyNumberFormat="1" applyFont="1" applyFill="1" applyBorder="1" applyAlignment="1">
      <alignment horizontal="center"/>
    </xf>
    <xf numFmtId="3" fontId="10" fillId="13" borderId="5" xfId="0" applyNumberFormat="1" applyFont="1" applyFill="1" applyBorder="1" applyAlignment="1">
      <alignment horizontal="center"/>
    </xf>
    <xf numFmtId="3" fontId="10" fillId="13" borderId="14" xfId="0" applyNumberFormat="1" applyFont="1" applyFill="1" applyBorder="1" applyAlignment="1">
      <alignment horizontal="center"/>
    </xf>
    <xf numFmtId="3" fontId="10" fillId="13" borderId="15" xfId="0" applyNumberFormat="1" applyFont="1" applyFill="1" applyBorder="1" applyAlignment="1">
      <alignment horizontal="center"/>
    </xf>
    <xf numFmtId="3" fontId="10" fillId="13" borderId="16" xfId="0" applyNumberFormat="1" applyFont="1" applyFill="1" applyBorder="1" applyAlignment="1">
      <alignment horizontal="center"/>
    </xf>
    <xf numFmtId="168" fontId="20" fillId="12" borderId="0" xfId="0" applyNumberFormat="1" applyFont="1" applyFill="1" applyAlignment="1">
      <alignment horizontal="left" indent="1"/>
    </xf>
    <xf numFmtId="0" fontId="16" fillId="12" borderId="30" xfId="0" applyFont="1" applyFill="1" applyBorder="1"/>
    <xf numFmtId="44" fontId="21" fillId="12" borderId="0" xfId="8" applyNumberFormat="1" applyFont="1" applyFill="1" applyBorder="1" applyAlignment="1">
      <alignment horizontal="center"/>
    </xf>
    <xf numFmtId="1" fontId="21" fillId="12" borderId="0" xfId="8" applyNumberFormat="1" applyFont="1" applyFill="1" applyBorder="1" applyAlignment="1">
      <alignment horizontal="center"/>
    </xf>
    <xf numFmtId="44" fontId="21" fillId="7" borderId="37" xfId="8" applyNumberFormat="1" applyFont="1" applyBorder="1" applyAlignment="1">
      <alignment horizontal="center"/>
    </xf>
    <xf numFmtId="1" fontId="21" fillId="7" borderId="38" xfId="8" applyNumberFormat="1" applyFont="1" applyBorder="1" applyAlignment="1">
      <alignment horizontal="center"/>
    </xf>
    <xf numFmtId="5" fontId="10" fillId="14" borderId="1" xfId="2" applyNumberFormat="1" applyFont="1" applyFill="1" applyBorder="1" applyAlignment="1">
      <alignment horizontal="center"/>
    </xf>
    <xf numFmtId="166" fontId="22" fillId="13" borderId="4" xfId="2" applyNumberFormat="1" applyFont="1" applyFill="1" applyBorder="1" applyAlignment="1">
      <alignment horizontal="center"/>
    </xf>
    <xf numFmtId="166" fontId="23" fillId="13" borderId="4" xfId="2" applyNumberFormat="1" applyFont="1" applyFill="1" applyBorder="1" applyAlignment="1">
      <alignment horizontal="center"/>
    </xf>
    <xf numFmtId="44" fontId="18" fillId="13" borderId="0" xfId="2" applyFont="1" applyFill="1" applyBorder="1" applyAlignment="1">
      <alignment horizontal="center"/>
    </xf>
    <xf numFmtId="44" fontId="10" fillId="13" borderId="0" xfId="2" applyFont="1" applyFill="1" applyBorder="1"/>
    <xf numFmtId="10" fontId="14" fillId="14" borderId="30" xfId="0" applyNumberFormat="1" applyFont="1" applyFill="1" applyBorder="1" applyAlignment="1">
      <alignment horizontal="center"/>
    </xf>
    <xf numFmtId="0" fontId="10" fillId="12" borderId="1" xfId="0" applyFont="1" applyFill="1" applyBorder="1"/>
    <xf numFmtId="0" fontId="24" fillId="12" borderId="30" xfId="0" applyFont="1" applyFill="1" applyBorder="1"/>
    <xf numFmtId="3" fontId="10" fillId="14" borderId="30" xfId="0" applyNumberFormat="1" applyFont="1" applyFill="1" applyBorder="1" applyAlignment="1">
      <alignment horizontal="center"/>
    </xf>
    <xf numFmtId="168" fontId="20" fillId="12" borderId="35" xfId="0" applyNumberFormat="1" applyFont="1" applyFill="1" applyBorder="1" applyAlignment="1">
      <alignment horizontal="left" indent="1"/>
    </xf>
    <xf numFmtId="44" fontId="21" fillId="12" borderId="35" xfId="8" applyNumberFormat="1" applyFont="1" applyFill="1" applyBorder="1" applyAlignment="1">
      <alignment horizontal="center"/>
    </xf>
    <xf numFmtId="5" fontId="18" fillId="13" borderId="0" xfId="2" applyNumberFormat="1" applyFont="1" applyFill="1" applyBorder="1" applyAlignment="1">
      <alignment horizontal="center"/>
    </xf>
    <xf numFmtId="44" fontId="10" fillId="14" borderId="1" xfId="2" applyFont="1" applyFill="1" applyBorder="1" applyAlignment="1">
      <alignment horizontal="center"/>
    </xf>
    <xf numFmtId="1" fontId="10" fillId="5" borderId="14" xfId="7" applyNumberFormat="1" applyFont="1" applyBorder="1" applyAlignment="1">
      <alignment horizontal="center"/>
    </xf>
    <xf numFmtId="1" fontId="10" fillId="5" borderId="5" xfId="7" applyNumberFormat="1" applyFont="1" applyBorder="1" applyAlignment="1">
      <alignment horizontal="center"/>
    </xf>
    <xf numFmtId="5" fontId="10" fillId="5" borderId="14" xfId="2" applyNumberFormat="1" applyFont="1" applyFill="1" applyBorder="1" applyAlignment="1">
      <alignment horizontal="center"/>
    </xf>
    <xf numFmtId="5" fontId="10" fillId="5" borderId="5" xfId="2" applyNumberFormat="1" applyFont="1" applyFill="1" applyBorder="1" applyAlignment="1">
      <alignment horizontal="center"/>
    </xf>
    <xf numFmtId="5" fontId="10" fillId="5" borderId="15" xfId="2" applyNumberFormat="1" applyFont="1" applyFill="1" applyBorder="1" applyAlignment="1">
      <alignment horizontal="center"/>
    </xf>
    <xf numFmtId="0" fontId="5" fillId="12" borderId="0" xfId="0" applyFont="1" applyFill="1"/>
    <xf numFmtId="3" fontId="0" fillId="12" borderId="0" xfId="0" applyNumberFormat="1" applyFill="1"/>
    <xf numFmtId="0" fontId="30" fillId="12" borderId="7" xfId="0" applyFont="1" applyFill="1" applyBorder="1" applyAlignment="1">
      <alignment horizontal="center"/>
    </xf>
    <xf numFmtId="3" fontId="11" fillId="16" borderId="1" xfId="0" applyNumberFormat="1" applyFont="1" applyFill="1" applyBorder="1" applyAlignment="1">
      <alignment horizontal="center"/>
    </xf>
    <xf numFmtId="3" fontId="11" fillId="17" borderId="1" xfId="0" applyNumberFormat="1" applyFont="1" applyFill="1" applyBorder="1" applyAlignment="1">
      <alignment horizontal="center"/>
    </xf>
    <xf numFmtId="3" fontId="11" fillId="18" borderId="1" xfId="0" applyNumberFormat="1" applyFont="1" applyFill="1" applyBorder="1" applyAlignment="1">
      <alignment horizontal="center"/>
    </xf>
    <xf numFmtId="166" fontId="0" fillId="12" borderId="0" xfId="0" applyNumberFormat="1" applyFill="1"/>
    <xf numFmtId="5" fontId="10" fillId="16" borderId="1" xfId="2" applyNumberFormat="1" applyFont="1" applyFill="1" applyBorder="1" applyAlignment="1">
      <alignment horizontal="center"/>
    </xf>
    <xf numFmtId="5" fontId="10" fillId="17" borderId="1" xfId="2" applyNumberFormat="1" applyFont="1" applyFill="1" applyBorder="1" applyAlignment="1">
      <alignment horizontal="center"/>
    </xf>
    <xf numFmtId="5" fontId="10" fillId="16" borderId="30" xfId="2" applyNumberFormat="1" applyFont="1" applyFill="1" applyBorder="1" applyAlignment="1">
      <alignment horizontal="center"/>
    </xf>
    <xf numFmtId="5" fontId="10" fillId="17" borderId="30" xfId="2" applyNumberFormat="1" applyFont="1" applyFill="1" applyBorder="1" applyAlignment="1">
      <alignment horizontal="center"/>
    </xf>
    <xf numFmtId="3" fontId="11" fillId="12" borderId="2" xfId="0" applyNumberFormat="1" applyFont="1" applyFill="1" applyBorder="1" applyAlignment="1">
      <alignment horizontal="center"/>
    </xf>
    <xf numFmtId="3" fontId="11" fillId="12" borderId="1" xfId="0" applyNumberFormat="1" applyFont="1" applyFill="1" applyBorder="1" applyAlignment="1">
      <alignment horizontal="center"/>
    </xf>
    <xf numFmtId="3" fontId="10" fillId="16" borderId="4" xfId="2" applyNumberFormat="1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5" fontId="28" fillId="12" borderId="1" xfId="0" applyNumberFormat="1" applyFont="1" applyFill="1" applyBorder="1" applyAlignment="1">
      <alignment horizontal="center"/>
    </xf>
    <xf numFmtId="0" fontId="30" fillId="12" borderId="0" xfId="0" applyFont="1" applyFill="1" applyAlignment="1">
      <alignment horizontal="center"/>
    </xf>
    <xf numFmtId="3" fontId="11" fillId="12" borderId="1" xfId="0" applyNumberFormat="1" applyFont="1" applyFill="1" applyBorder="1"/>
    <xf numFmtId="0" fontId="5" fillId="12" borderId="1" xfId="0" applyFont="1" applyFill="1" applyBorder="1" applyAlignment="1">
      <alignment horizontal="center"/>
    </xf>
    <xf numFmtId="0" fontId="5" fillId="12" borderId="16" xfId="0" applyFont="1" applyFill="1" applyBorder="1"/>
    <xf numFmtId="0" fontId="5" fillId="12" borderId="30" xfId="0" applyFont="1" applyFill="1" applyBorder="1"/>
    <xf numFmtId="0" fontId="30" fillId="12" borderId="0" xfId="0" applyFont="1" applyFill="1"/>
    <xf numFmtId="3" fontId="11" fillId="16" borderId="1" xfId="2" applyNumberFormat="1" applyFont="1" applyFill="1" applyBorder="1" applyAlignment="1">
      <alignment horizontal="center"/>
    </xf>
    <xf numFmtId="5" fontId="11" fillId="17" borderId="1" xfId="2" applyNumberFormat="1" applyFont="1" applyFill="1" applyBorder="1" applyAlignment="1">
      <alignment horizontal="center"/>
    </xf>
    <xf numFmtId="5" fontId="11" fillId="12" borderId="1" xfId="0" applyNumberFormat="1" applyFont="1" applyFill="1" applyBorder="1"/>
    <xf numFmtId="0" fontId="10" fillId="15" borderId="1" xfId="0" applyFont="1" applyFill="1" applyBorder="1" applyAlignment="1">
      <alignment horizontal="center"/>
    </xf>
    <xf numFmtId="3" fontId="10" fillId="12" borderId="0" xfId="0" applyNumberFormat="1" applyFont="1" applyFill="1" applyAlignment="1">
      <alignment horizontal="center"/>
    </xf>
    <xf numFmtId="3" fontId="0" fillId="12" borderId="0" xfId="0" applyNumberFormat="1" applyFill="1" applyAlignment="1">
      <alignment horizontal="center"/>
    </xf>
    <xf numFmtId="0" fontId="30" fillId="0" borderId="0" xfId="0" applyFont="1"/>
    <xf numFmtId="0" fontId="10" fillId="0" borderId="1" xfId="0" applyFont="1" applyBorder="1" applyAlignment="1" applyProtection="1">
      <alignment horizontal="left" indent="1"/>
      <protection locked="0"/>
    </xf>
    <xf numFmtId="0" fontId="10" fillId="0" borderId="1" xfId="0" applyFont="1" applyBorder="1" applyAlignment="1" applyProtection="1">
      <alignment horizontal="left" wrapText="1" indent="1"/>
      <protection locked="0"/>
    </xf>
    <xf numFmtId="3" fontId="10" fillId="18" borderId="1" xfId="0" applyNumberFormat="1" applyFont="1" applyFill="1" applyBorder="1" applyAlignment="1">
      <alignment horizontal="center"/>
    </xf>
    <xf numFmtId="5" fontId="10" fillId="15" borderId="1" xfId="0" applyNumberFormat="1" applyFont="1" applyFill="1" applyBorder="1" applyAlignment="1">
      <alignment horizontal="center"/>
    </xf>
    <xf numFmtId="5" fontId="10" fillId="18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right"/>
    </xf>
    <xf numFmtId="5" fontId="11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49" fontId="10" fillId="0" borderId="1" xfId="0" applyNumberFormat="1" applyFont="1" applyBorder="1"/>
    <xf numFmtId="3" fontId="11" fillId="15" borderId="1" xfId="0" applyNumberFormat="1" applyFont="1" applyFill="1" applyBorder="1" applyAlignment="1">
      <alignment horizontal="center"/>
    </xf>
    <xf numFmtId="5" fontId="10" fillId="15" borderId="1" xfId="2" applyNumberFormat="1" applyFont="1" applyFill="1" applyBorder="1" applyAlignment="1">
      <alignment horizontal="center"/>
    </xf>
    <xf numFmtId="5" fontId="10" fillId="15" borderId="30" xfId="2" applyNumberFormat="1" applyFont="1" applyFill="1" applyBorder="1" applyAlignment="1">
      <alignment horizontal="center"/>
    </xf>
    <xf numFmtId="5" fontId="11" fillId="15" borderId="1" xfId="2" applyNumberFormat="1" applyFont="1" applyFill="1" applyBorder="1" applyAlignment="1">
      <alignment horizontal="center"/>
    </xf>
    <xf numFmtId="9" fontId="11" fillId="13" borderId="30" xfId="3" applyFont="1" applyFill="1" applyBorder="1" applyAlignment="1">
      <alignment horizontal="center"/>
    </xf>
    <xf numFmtId="7" fontId="11" fillId="0" borderId="0" xfId="0" applyNumberFormat="1" applyFont="1"/>
    <xf numFmtId="3" fontId="11" fillId="16" borderId="2" xfId="0" applyNumberFormat="1" applyFont="1" applyFill="1" applyBorder="1" applyAlignment="1">
      <alignment horizontal="center"/>
    </xf>
    <xf numFmtId="3" fontId="11" fillId="16" borderId="3" xfId="0" applyNumberFormat="1" applyFont="1" applyFill="1" applyBorder="1" applyAlignment="1">
      <alignment horizontal="center"/>
    </xf>
    <xf numFmtId="3" fontId="11" fillId="19" borderId="2" xfId="0" applyNumberFormat="1" applyFont="1" applyFill="1" applyBorder="1" applyAlignment="1">
      <alignment horizontal="center"/>
    </xf>
    <xf numFmtId="3" fontId="11" fillId="19" borderId="3" xfId="0" applyNumberFormat="1" applyFont="1" applyFill="1" applyBorder="1" applyAlignment="1">
      <alignment horizontal="center"/>
    </xf>
    <xf numFmtId="3" fontId="11" fillId="19" borderId="4" xfId="0" applyNumberFormat="1" applyFont="1" applyFill="1" applyBorder="1" applyAlignment="1">
      <alignment horizontal="center"/>
    </xf>
    <xf numFmtId="0" fontId="30" fillId="12" borderId="0" xfId="0" applyFont="1" applyFill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12" borderId="7" xfId="0" applyFont="1" applyFill="1" applyBorder="1" applyAlignment="1">
      <alignment horizontal="center"/>
    </xf>
    <xf numFmtId="0" fontId="0" fillId="0" borderId="23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5" fillId="0" borderId="2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9" fontId="3" fillId="3" borderId="33" xfId="5" applyNumberFormat="1" applyBorder="1" applyAlignment="1">
      <alignment horizontal="center"/>
    </xf>
    <xf numFmtId="9" fontId="4" fillId="4" borderId="33" xfId="6" applyNumberFormat="1" applyBorder="1" applyAlignment="1">
      <alignment horizontal="center"/>
    </xf>
    <xf numFmtId="9" fontId="2" fillId="2" borderId="33" xfId="4" applyNumberFormat="1" applyBorder="1" applyAlignment="1">
      <alignment horizontal="center"/>
    </xf>
    <xf numFmtId="3" fontId="0" fillId="0" borderId="2" xfId="1" applyNumberFormat="1" applyFont="1" applyBorder="1" applyAlignment="1">
      <alignment horizontal="center"/>
    </xf>
    <xf numFmtId="3" fontId="0" fillId="0" borderId="4" xfId="1" applyNumberFormat="1" applyFont="1" applyBorder="1" applyAlignment="1">
      <alignment horizontal="center"/>
    </xf>
    <xf numFmtId="9" fontId="0" fillId="0" borderId="14" xfId="3" applyFont="1" applyBorder="1" applyAlignment="1">
      <alignment horizontal="center"/>
    </xf>
    <xf numFmtId="9" fontId="0" fillId="0" borderId="15" xfId="3" applyFont="1" applyBorder="1" applyAlignment="1">
      <alignment horizontal="center"/>
    </xf>
    <xf numFmtId="3" fontId="0" fillId="6" borderId="1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3" fontId="0" fillId="6" borderId="0" xfId="1" applyNumberFormat="1" applyFont="1" applyFill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4" xfId="1" applyNumberFormat="1" applyFont="1" applyBorder="1" applyAlignment="1">
      <alignment horizontal="center"/>
    </xf>
    <xf numFmtId="3" fontId="0" fillId="0" borderId="14" xfId="1" applyNumberFormat="1" applyFon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3" fontId="0" fillId="6" borderId="9" xfId="1" applyNumberFormat="1" applyFont="1" applyFill="1" applyBorder="1" applyAlignment="1">
      <alignment horizontal="center"/>
    </xf>
    <xf numFmtId="9" fontId="0" fillId="0" borderId="2" xfId="3" applyFont="1" applyBorder="1" applyAlignment="1">
      <alignment horizontal="center"/>
    </xf>
    <xf numFmtId="9" fontId="0" fillId="0" borderId="4" xfId="3" applyFont="1" applyBorder="1" applyAlignment="1">
      <alignment horizontal="center"/>
    </xf>
    <xf numFmtId="0" fontId="3" fillId="3" borderId="32" xfId="5" applyBorder="1" applyAlignment="1">
      <alignment horizontal="center"/>
    </xf>
    <xf numFmtId="0" fontId="3" fillId="3" borderId="33" xfId="5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5" borderId="32" xfId="7" applyBorder="1" applyAlignment="1">
      <alignment horizontal="center"/>
    </xf>
    <xf numFmtId="0" fontId="1" fillId="5" borderId="33" xfId="7" applyBorder="1" applyAlignment="1">
      <alignment horizontal="center"/>
    </xf>
    <xf numFmtId="9" fontId="1" fillId="5" borderId="33" xfId="7" applyNumberFormat="1" applyBorder="1" applyAlignment="1">
      <alignment horizontal="center"/>
    </xf>
    <xf numFmtId="0" fontId="4" fillId="4" borderId="32" xfId="6" applyBorder="1" applyAlignment="1">
      <alignment horizontal="center"/>
    </xf>
    <xf numFmtId="0" fontId="4" fillId="4" borderId="33" xfId="6" applyBorder="1" applyAlignment="1">
      <alignment horizontal="center"/>
    </xf>
    <xf numFmtId="0" fontId="2" fillId="2" borderId="32" xfId="4" applyBorder="1" applyAlignment="1">
      <alignment horizontal="center"/>
    </xf>
    <xf numFmtId="0" fontId="2" fillId="2" borderId="33" xfId="4" applyBorder="1" applyAlignment="1">
      <alignment horizontal="center"/>
    </xf>
    <xf numFmtId="3" fontId="0" fillId="6" borderId="6" xfId="1" applyNumberFormat="1" applyFont="1" applyFill="1" applyBorder="1" applyAlignment="1">
      <alignment horizontal="center"/>
    </xf>
    <xf numFmtId="3" fontId="0" fillId="0" borderId="3" xfId="1" applyNumberFormat="1" applyFont="1" applyBorder="1" applyAlignment="1">
      <alignment horizontal="center"/>
    </xf>
    <xf numFmtId="3" fontId="0" fillId="6" borderId="16" xfId="1" applyNumberFormat="1" applyFont="1" applyFill="1" applyBorder="1" applyAlignment="1">
      <alignment horizontal="center"/>
    </xf>
    <xf numFmtId="3" fontId="0" fillId="6" borderId="30" xfId="1" applyNumberFormat="1" applyFont="1" applyFill="1" applyBorder="1" applyAlignment="1">
      <alignment horizontal="center"/>
    </xf>
    <xf numFmtId="3" fontId="0" fillId="6" borderId="35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5" fontId="0" fillId="0" borderId="5" xfId="0" applyNumberFormat="1" applyBorder="1" applyAlignment="1">
      <alignment horizontal="center"/>
    </xf>
    <xf numFmtId="5" fontId="0" fillId="0" borderId="15" xfId="0" applyNumberForma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5" fontId="0" fillId="0" borderId="3" xfId="0" applyNumberFormat="1" applyBorder="1" applyAlignment="1">
      <alignment horizontal="center"/>
    </xf>
    <xf numFmtId="5" fontId="0" fillId="0" borderId="4" xfId="0" applyNumberFormat="1" applyBorder="1" applyAlignment="1">
      <alignment horizontal="center"/>
    </xf>
    <xf numFmtId="5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5" fontId="0" fillId="0" borderId="1" xfId="2" applyNumberFormat="1" applyFont="1" applyBorder="1" applyAlignment="1">
      <alignment horizontal="center"/>
    </xf>
    <xf numFmtId="5" fontId="0" fillId="0" borderId="12" xfId="0" applyNumberForma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0" fillId="0" borderId="16" xfId="0" applyBorder="1" applyAlignment="1">
      <alignment horizontal="center"/>
    </xf>
    <xf numFmtId="5" fontId="0" fillId="0" borderId="22" xfId="2" applyNumberFormat="1" applyFont="1" applyBorder="1" applyAlignment="1">
      <alignment horizontal="center"/>
    </xf>
    <xf numFmtId="5" fontId="0" fillId="0" borderId="20" xfId="2" applyNumberFormat="1" applyFont="1" applyBorder="1" applyAlignment="1">
      <alignment horizontal="center"/>
    </xf>
    <xf numFmtId="5" fontId="0" fillId="0" borderId="21" xfId="2" applyNumberFormat="1" applyFont="1" applyBorder="1" applyAlignment="1">
      <alignment horizontal="center"/>
    </xf>
    <xf numFmtId="0" fontId="33" fillId="12" borderId="35" xfId="0" applyFont="1" applyFill="1" applyBorder="1" applyAlignment="1">
      <alignment horizontal="center"/>
    </xf>
    <xf numFmtId="0" fontId="33" fillId="1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/>
    <xf numFmtId="173" fontId="4" fillId="4" borderId="1" xfId="6" applyNumberFormat="1" applyBorder="1"/>
    <xf numFmtId="170" fontId="2" fillId="2" borderId="1" xfId="4" applyNumberFormat="1" applyBorder="1" applyAlignment="1">
      <alignment horizontal="center"/>
    </xf>
    <xf numFmtId="0" fontId="2" fillId="2" borderId="1" xfId="4" applyBorder="1" applyAlignment="1">
      <alignment horizontal="center"/>
    </xf>
    <xf numFmtId="170" fontId="1" fillId="20" borderId="1" xfId="13" applyNumberFormat="1" applyBorder="1" applyAlignment="1">
      <alignment horizontal="center"/>
    </xf>
    <xf numFmtId="0" fontId="1" fillId="20" borderId="1" xfId="13" applyBorder="1" applyAlignment="1">
      <alignment horizontal="center"/>
    </xf>
    <xf numFmtId="170" fontId="1" fillId="5" borderId="1" xfId="7" applyNumberFormat="1" applyBorder="1" applyAlignment="1">
      <alignment horizontal="center"/>
    </xf>
    <xf numFmtId="173" fontId="4" fillId="4" borderId="39" xfId="6" applyNumberFormat="1" applyBorder="1"/>
    <xf numFmtId="173" fontId="4" fillId="4" borderId="40" xfId="6" applyNumberFormat="1" applyBorder="1"/>
    <xf numFmtId="173" fontId="4" fillId="4" borderId="41" xfId="6" applyNumberFormat="1" applyBorder="1" applyAlignment="1">
      <alignment horizontal="center"/>
    </xf>
    <xf numFmtId="173" fontId="4" fillId="4" borderId="42" xfId="6" applyNumberFormat="1" applyBorder="1"/>
    <xf numFmtId="173" fontId="4" fillId="4" borderId="43" xfId="6" applyNumberFormat="1" applyBorder="1" applyAlignment="1">
      <alignment horizontal="center"/>
    </xf>
    <xf numFmtId="0" fontId="4" fillId="4" borderId="43" xfId="6" applyNumberFormat="1" applyBorder="1" applyAlignment="1">
      <alignment horizontal="center"/>
    </xf>
    <xf numFmtId="173" fontId="4" fillId="4" borderId="44" xfId="6" applyNumberFormat="1" applyBorder="1"/>
    <xf numFmtId="173" fontId="4" fillId="4" borderId="45" xfId="6" applyNumberFormat="1" applyBorder="1"/>
    <xf numFmtId="173" fontId="4" fillId="4" borderId="46" xfId="6" applyNumberFormat="1" applyBorder="1" applyAlignment="1">
      <alignment horizontal="center"/>
    </xf>
    <xf numFmtId="170" fontId="2" fillId="2" borderId="39" xfId="4" applyNumberFormat="1" applyBorder="1" applyAlignment="1">
      <alignment horizontal="center"/>
    </xf>
    <xf numFmtId="170" fontId="2" fillId="2" borderId="40" xfId="4" applyNumberFormat="1" applyBorder="1" applyAlignment="1">
      <alignment horizontal="center"/>
    </xf>
    <xf numFmtId="0" fontId="2" fillId="2" borderId="41" xfId="4" applyBorder="1" applyAlignment="1">
      <alignment horizontal="center"/>
    </xf>
    <xf numFmtId="170" fontId="2" fillId="2" borderId="42" xfId="4" applyNumberFormat="1" applyBorder="1" applyAlignment="1">
      <alignment horizontal="center"/>
    </xf>
    <xf numFmtId="0" fontId="2" fillId="2" borderId="43" xfId="4" applyBorder="1" applyAlignment="1">
      <alignment horizontal="center"/>
    </xf>
    <xf numFmtId="170" fontId="2" fillId="2" borderId="44" xfId="4" applyNumberFormat="1" applyBorder="1" applyAlignment="1">
      <alignment horizontal="center"/>
    </xf>
    <xf numFmtId="170" fontId="2" fillId="2" borderId="45" xfId="4" applyNumberFormat="1" applyBorder="1" applyAlignment="1">
      <alignment horizontal="center"/>
    </xf>
    <xf numFmtId="0" fontId="2" fillId="2" borderId="46" xfId="4" applyBorder="1" applyAlignment="1">
      <alignment horizontal="center"/>
    </xf>
    <xf numFmtId="170" fontId="1" fillId="20" borderId="39" xfId="13" applyNumberFormat="1" applyBorder="1" applyAlignment="1">
      <alignment horizontal="center"/>
    </xf>
    <xf numFmtId="170" fontId="1" fillId="20" borderId="40" xfId="13" applyNumberFormat="1" applyBorder="1" applyAlignment="1">
      <alignment horizontal="center"/>
    </xf>
    <xf numFmtId="0" fontId="1" fillId="20" borderId="41" xfId="13" applyBorder="1" applyAlignment="1">
      <alignment horizontal="center"/>
    </xf>
    <xf numFmtId="170" fontId="1" fillId="20" borderId="42" xfId="13" applyNumberFormat="1" applyBorder="1" applyAlignment="1">
      <alignment horizontal="center"/>
    </xf>
    <xf numFmtId="0" fontId="1" fillId="20" borderId="43" xfId="13" applyBorder="1" applyAlignment="1">
      <alignment horizontal="center"/>
    </xf>
    <xf numFmtId="0" fontId="1" fillId="20" borderId="42" xfId="13" applyBorder="1" applyAlignment="1">
      <alignment horizontal="center"/>
    </xf>
    <xf numFmtId="0" fontId="1" fillId="20" borderId="44" xfId="13" applyBorder="1" applyAlignment="1">
      <alignment horizontal="center"/>
    </xf>
    <xf numFmtId="0" fontId="1" fillId="20" borderId="45" xfId="13" applyBorder="1" applyAlignment="1">
      <alignment horizontal="center"/>
    </xf>
    <xf numFmtId="0" fontId="1" fillId="20" borderId="46" xfId="13" applyBorder="1" applyAlignment="1">
      <alignment horizontal="center"/>
    </xf>
    <xf numFmtId="170" fontId="1" fillId="5" borderId="39" xfId="7" applyNumberFormat="1" applyBorder="1" applyAlignment="1">
      <alignment horizontal="center"/>
    </xf>
    <xf numFmtId="170" fontId="1" fillId="5" borderId="40" xfId="7" applyNumberFormat="1" applyBorder="1" applyAlignment="1">
      <alignment horizontal="center"/>
    </xf>
    <xf numFmtId="0" fontId="1" fillId="5" borderId="41" xfId="7" applyBorder="1" applyAlignment="1">
      <alignment horizontal="center"/>
    </xf>
    <xf numFmtId="170" fontId="1" fillId="5" borderId="42" xfId="7" applyNumberFormat="1" applyBorder="1" applyAlignment="1">
      <alignment horizontal="center"/>
    </xf>
    <xf numFmtId="0" fontId="1" fillId="5" borderId="43" xfId="7" applyBorder="1" applyAlignment="1">
      <alignment horizontal="center"/>
    </xf>
    <xf numFmtId="0" fontId="1" fillId="5" borderId="44" xfId="7" applyBorder="1" applyAlignment="1">
      <alignment horizontal="center"/>
    </xf>
    <xf numFmtId="0" fontId="1" fillId="5" borderId="45" xfId="7" applyBorder="1" applyAlignment="1">
      <alignment horizontal="center"/>
    </xf>
    <xf numFmtId="0" fontId="1" fillId="5" borderId="46" xfId="7" applyBorder="1" applyAlignment="1">
      <alignment horizontal="center"/>
    </xf>
    <xf numFmtId="0" fontId="2" fillId="2" borderId="39" xfId="4" applyBorder="1" applyAlignment="1">
      <alignment horizontal="center"/>
    </xf>
    <xf numFmtId="0" fontId="2" fillId="2" borderId="40" xfId="4" applyBorder="1" applyAlignment="1">
      <alignment horizontal="center"/>
    </xf>
    <xf numFmtId="0" fontId="2" fillId="2" borderId="42" xfId="4" applyBorder="1" applyAlignment="1">
      <alignment horizontal="center"/>
    </xf>
    <xf numFmtId="0" fontId="2" fillId="2" borderId="44" xfId="4" applyBorder="1" applyAlignment="1">
      <alignment horizontal="center"/>
    </xf>
    <xf numFmtId="0" fontId="2" fillId="2" borderId="45" xfId="4" applyBorder="1" applyAlignment="1">
      <alignment horizontal="center"/>
    </xf>
    <xf numFmtId="0" fontId="34" fillId="0" borderId="14" xfId="0" applyFont="1" applyBorder="1" applyAlignment="1">
      <alignment horizontal="right" vertical="top"/>
    </xf>
    <xf numFmtId="0" fontId="34" fillId="0" borderId="15" xfId="0" applyFont="1" applyBorder="1" applyAlignment="1">
      <alignment horizontal="right" vertical="top"/>
    </xf>
    <xf numFmtId="0" fontId="34" fillId="0" borderId="35" xfId="0" applyFont="1" applyBorder="1" applyAlignment="1">
      <alignment horizontal="right" vertical="top"/>
    </xf>
    <xf numFmtId="0" fontId="34" fillId="0" borderId="31" xfId="0" applyFont="1" applyBorder="1" applyAlignment="1">
      <alignment horizontal="right" vertical="top"/>
    </xf>
    <xf numFmtId="0" fontId="34" fillId="0" borderId="6" xfId="0" applyFont="1" applyBorder="1" applyAlignment="1">
      <alignment horizontal="right" vertical="top"/>
    </xf>
    <xf numFmtId="0" fontId="34" fillId="0" borderId="8" xfId="0" applyFont="1" applyBorder="1" applyAlignment="1">
      <alignment horizontal="right" vertical="top"/>
    </xf>
    <xf numFmtId="0" fontId="35" fillId="4" borderId="22" xfId="6" applyFont="1" applyBorder="1" applyAlignment="1">
      <alignment horizontal="center"/>
    </xf>
    <xf numFmtId="0" fontId="35" fillId="4" borderId="20" xfId="6" applyFont="1" applyBorder="1" applyAlignment="1">
      <alignment horizontal="center"/>
    </xf>
    <xf numFmtId="0" fontId="35" fillId="4" borderId="21" xfId="6" applyFont="1" applyBorder="1" applyAlignment="1">
      <alignment horizontal="center"/>
    </xf>
    <xf numFmtId="0" fontId="36" fillId="2" borderId="16" xfId="4" applyFont="1" applyBorder="1" applyAlignment="1">
      <alignment horizontal="center"/>
    </xf>
    <xf numFmtId="0" fontId="5" fillId="20" borderId="16" xfId="13" applyFont="1" applyBorder="1" applyAlignment="1">
      <alignment horizontal="center"/>
    </xf>
    <xf numFmtId="0" fontId="5" fillId="5" borderId="16" xfId="7" applyFont="1" applyBorder="1" applyAlignment="1">
      <alignment horizontal="center"/>
    </xf>
    <xf numFmtId="0" fontId="36" fillId="2" borderId="16" xfId="4" quotePrefix="1" applyFont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37" fillId="0" borderId="14" xfId="0" applyFont="1" applyBorder="1" applyAlignment="1">
      <alignment horizontal="left"/>
    </xf>
    <xf numFmtId="0" fontId="37" fillId="0" borderId="5" xfId="0" applyFont="1" applyBorder="1" applyAlignment="1">
      <alignment horizontal="left"/>
    </xf>
    <xf numFmtId="0" fontId="37" fillId="0" borderId="15" xfId="0" applyFont="1" applyBorder="1" applyAlignment="1">
      <alignment horizontal="left"/>
    </xf>
    <xf numFmtId="0" fontId="37" fillId="0" borderId="6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1" fillId="21" borderId="1" xfId="14" applyBorder="1" applyAlignment="1">
      <alignment horizontal="center"/>
    </xf>
    <xf numFmtId="0" fontId="1" fillId="22" borderId="1" xfId="15" applyBorder="1" applyAlignment="1">
      <alignment horizontal="center"/>
    </xf>
    <xf numFmtId="0" fontId="1" fillId="10" borderId="1" xfId="1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178" fontId="1" fillId="0" borderId="1" xfId="4" applyNumberFormat="1" applyFont="1" applyFill="1" applyBorder="1" applyAlignment="1"/>
    <xf numFmtId="178" fontId="0" fillId="0" borderId="1" xfId="0" applyNumberFormat="1" applyBorder="1" applyAlignment="1"/>
    <xf numFmtId="0" fontId="5" fillId="0" borderId="1" xfId="0" applyFont="1" applyBorder="1" applyAlignment="1">
      <alignment vertical="center"/>
    </xf>
    <xf numFmtId="44" fontId="0" fillId="0" borderId="1" xfId="2" applyFont="1" applyBorder="1" applyAlignment="1"/>
    <xf numFmtId="0" fontId="5" fillId="0" borderId="4" xfId="0" applyFont="1" applyBorder="1" applyAlignment="1"/>
    <xf numFmtId="44" fontId="1" fillId="0" borderId="4" xfId="2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</cellXfs>
  <cellStyles count="16">
    <cellStyle name="20% - Accent1" xfId="13" builtinId="30"/>
    <cellStyle name="20% - Accent2" xfId="7" builtinId="34"/>
    <cellStyle name="20% - Accent4" xfId="14" builtinId="42"/>
    <cellStyle name="20% - Accent5" xfId="15" builtinId="46"/>
    <cellStyle name="20% - Accent6" xfId="11" builtinId="50"/>
    <cellStyle name="40% - Accent1" xfId="9" builtinId="31"/>
    <cellStyle name="40% - Accent6" xfId="12" builtinId="51"/>
    <cellStyle name="Accent5" xfId="10" builtinId="45"/>
    <cellStyle name="Bad" xfId="5" builtinId="27"/>
    <cellStyle name="Comma" xfId="1" builtinId="3"/>
    <cellStyle name="Currency" xfId="2" builtinId="4"/>
    <cellStyle name="Good" xfId="4" builtinId="26"/>
    <cellStyle name="Input" xfId="8" builtinId="20"/>
    <cellStyle name="Neutral" xfId="6" builtinId="2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0201"/>
      <color rgb="FF00D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lliottamador/Documents/Reelize%20Financials%20v9.xlsx" TargetMode="External"/><Relationship Id="rId1" Type="http://schemas.openxmlformats.org/officeDocument/2006/relationships/externalLinkPath" Target="Reelize%20Financials%20v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rate Model"/>
      <sheetName val="NEW Model"/>
      <sheetName val="Moderate Summary"/>
      <sheetName val="Reelize Pro Forma"/>
      <sheetName val="Trailer Business Model"/>
      <sheetName val="CMS Business Model"/>
      <sheetName val="(Initial invest.) ACME"/>
      <sheetName val="Pre Seed Raise"/>
    </sheetNames>
    <sheetDataSet>
      <sheetData sheetId="0">
        <row r="130">
          <cell r="R130">
            <v>922258.33333333337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liott amador" id="{173FF1A3-9538-0D46-AE2C-2C85E1A16D6B}" userId="b07c2339ef63a7a9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3-12-07T19:09:03.22" personId="{173FF1A3-9538-0D46-AE2C-2C85E1A16D6B}" id="{9807A01F-2289-B245-A126-FFC60F78C686}">
    <text>Assumes each player plays on average 2hrs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0FC48-ABBF-E149-A0C5-5F6DF4BC0831}">
  <dimension ref="A1:AI122"/>
  <sheetViews>
    <sheetView zoomScale="80" zoomScaleNormal="80" workbookViewId="0">
      <selection activeCell="R89" sqref="R89"/>
    </sheetView>
  </sheetViews>
  <sheetFormatPr baseColWidth="10" defaultColWidth="10.83203125" defaultRowHeight="14" outlineLevelRow="2" outlineLevelCol="1" x14ac:dyDescent="0.2"/>
  <cols>
    <col min="1" max="1" width="3.5" style="40" customWidth="1"/>
    <col min="2" max="2" width="61.6640625" style="40" bestFit="1" customWidth="1"/>
    <col min="3" max="3" width="20.6640625" style="40" bestFit="1" customWidth="1"/>
    <col min="4" max="4" width="17.5" style="40" bestFit="1" customWidth="1"/>
    <col min="5" max="5" width="11.6640625" style="40" bestFit="1" customWidth="1"/>
    <col min="6" max="6" width="15.83203125" style="40" customWidth="1" outlineLevel="1"/>
    <col min="7" max="7" width="16.33203125" style="40" customWidth="1" outlineLevel="1"/>
    <col min="8" max="8" width="15.5" style="40" customWidth="1" outlineLevel="1"/>
    <col min="9" max="9" width="15.83203125" style="40" customWidth="1" outlineLevel="1"/>
    <col min="10" max="10" width="16.5" style="40" customWidth="1" outlineLevel="1"/>
    <col min="11" max="11" width="15.6640625" style="40" customWidth="1" outlineLevel="1"/>
    <col min="12" max="13" width="16.1640625" style="40" customWidth="1" outlineLevel="1"/>
    <col min="14" max="14" width="15.5" style="40" customWidth="1" outlineLevel="1"/>
    <col min="15" max="15" width="16.83203125" style="40" customWidth="1" outlineLevel="1"/>
    <col min="16" max="16" width="17" style="40" customWidth="1" outlineLevel="1"/>
    <col min="17" max="17" width="16.6640625" style="40" customWidth="1" outlineLevel="1"/>
    <col min="18" max="18" width="13.5" style="40" bestFit="1" customWidth="1"/>
    <col min="19" max="19" width="10.83203125" style="40"/>
    <col min="20" max="20" width="13.6640625" style="40" hidden="1" customWidth="1" outlineLevel="1"/>
    <col min="21" max="21" width="15" style="40" hidden="1" customWidth="1" outlineLevel="1"/>
    <col min="22" max="22" width="10.83203125" style="40" hidden="1" customWidth="1" outlineLevel="1"/>
    <col min="23" max="24" width="12.1640625" style="40" hidden="1" customWidth="1" outlineLevel="1"/>
    <col min="25" max="30" width="10.83203125" style="40" hidden="1" customWidth="1" outlineLevel="1"/>
    <col min="31" max="31" width="15.1640625" style="40" hidden="1" customWidth="1" outlineLevel="1"/>
    <col min="32" max="32" width="10.83203125" style="40" hidden="1" customWidth="1" outlineLevel="1"/>
    <col min="33" max="33" width="17.1640625" style="40" hidden="1" customWidth="1" outlineLevel="1"/>
    <col min="34" max="34" width="16.5" style="40" hidden="1" customWidth="1" outlineLevel="1"/>
    <col min="35" max="35" width="12" style="40" bestFit="1" customWidth="1" collapsed="1"/>
    <col min="36" max="16384" width="10.83203125" style="40"/>
  </cols>
  <sheetData>
    <row r="1" spans="2:35" x14ac:dyDescent="0.2">
      <c r="B1" s="39"/>
    </row>
    <row r="2" spans="2:35" x14ac:dyDescent="0.2">
      <c r="B2" s="41" t="s">
        <v>112</v>
      </c>
    </row>
    <row r="3" spans="2:35" x14ac:dyDescent="0.2">
      <c r="B3" s="41"/>
      <c r="F3" s="42" t="s">
        <v>207</v>
      </c>
      <c r="G3" s="42" t="s">
        <v>207</v>
      </c>
      <c r="H3" s="42" t="s">
        <v>207</v>
      </c>
      <c r="I3" s="42" t="s">
        <v>207</v>
      </c>
      <c r="J3" s="42" t="s">
        <v>221</v>
      </c>
      <c r="K3" s="42" t="s">
        <v>221</v>
      </c>
      <c r="L3" s="42" t="s">
        <v>222</v>
      </c>
      <c r="M3" s="42"/>
      <c r="N3" s="42"/>
      <c r="O3" s="42"/>
      <c r="P3" s="42"/>
      <c r="Q3" s="42"/>
    </row>
    <row r="4" spans="2:35" ht="30" customHeight="1" x14ac:dyDescent="0.2">
      <c r="B4" s="43"/>
      <c r="C4" s="44"/>
      <c r="D4" s="45"/>
      <c r="E4" s="45"/>
      <c r="F4" s="46" t="s">
        <v>193</v>
      </c>
      <c r="G4" s="46" t="s">
        <v>195</v>
      </c>
      <c r="H4" s="46" t="s">
        <v>196</v>
      </c>
      <c r="I4" s="46" t="s">
        <v>197</v>
      </c>
      <c r="J4" s="46" t="s">
        <v>198</v>
      </c>
      <c r="K4" s="46" t="s">
        <v>199</v>
      </c>
      <c r="L4" s="46" t="s">
        <v>200</v>
      </c>
      <c r="M4" s="46" t="s">
        <v>201</v>
      </c>
      <c r="N4" s="46" t="s">
        <v>202</v>
      </c>
      <c r="O4" s="46" t="s">
        <v>203</v>
      </c>
      <c r="P4" s="46" t="s">
        <v>204</v>
      </c>
      <c r="Q4" s="46" t="s">
        <v>205</v>
      </c>
      <c r="R4" s="47" t="s">
        <v>113</v>
      </c>
      <c r="T4" s="44"/>
      <c r="U4" s="45"/>
      <c r="V4" s="45"/>
      <c r="W4" s="46" t="s">
        <v>194</v>
      </c>
      <c r="X4" s="46" t="s">
        <v>262</v>
      </c>
      <c r="Y4" s="46" t="s">
        <v>263</v>
      </c>
      <c r="Z4" s="46" t="s">
        <v>264</v>
      </c>
      <c r="AA4" s="46" t="s">
        <v>265</v>
      </c>
      <c r="AB4" s="46" t="s">
        <v>266</v>
      </c>
      <c r="AC4" s="46" t="s">
        <v>267</v>
      </c>
      <c r="AD4" s="46" t="s">
        <v>268</v>
      </c>
      <c r="AE4" s="46" t="s">
        <v>269</v>
      </c>
      <c r="AF4" s="46" t="s">
        <v>270</v>
      </c>
      <c r="AG4" s="46" t="s">
        <v>271</v>
      </c>
      <c r="AH4" s="46" t="s">
        <v>272</v>
      </c>
      <c r="AI4" s="47" t="s">
        <v>114</v>
      </c>
    </row>
    <row r="5" spans="2:35" x14ac:dyDescent="0.2">
      <c r="B5" s="159" t="s">
        <v>206</v>
      </c>
      <c r="C5" s="39"/>
      <c r="D5" s="39"/>
      <c r="E5" s="3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55"/>
      <c r="T5" s="49"/>
      <c r="U5" s="39"/>
      <c r="V5" s="39"/>
      <c r="W5" s="50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2"/>
      <c r="AI5" s="55"/>
    </row>
    <row r="6" spans="2:35" s="185" customFormat="1" x14ac:dyDescent="0.2">
      <c r="B6" s="160" t="s">
        <v>208</v>
      </c>
      <c r="C6" s="161"/>
      <c r="D6" s="57"/>
      <c r="E6" s="163"/>
      <c r="F6" s="164">
        <v>25</v>
      </c>
      <c r="G6" s="61">
        <v>25</v>
      </c>
      <c r="H6" s="61">
        <v>25</v>
      </c>
      <c r="I6" s="61">
        <v>25</v>
      </c>
      <c r="J6" s="61">
        <v>25</v>
      </c>
      <c r="K6" s="61">
        <v>25</v>
      </c>
      <c r="L6" s="61">
        <v>25</v>
      </c>
      <c r="M6" s="61">
        <v>25</v>
      </c>
      <c r="N6" s="61">
        <v>25</v>
      </c>
      <c r="O6" s="61">
        <v>25</v>
      </c>
      <c r="P6" s="61">
        <v>25</v>
      </c>
      <c r="Q6" s="61">
        <v>25</v>
      </c>
      <c r="R6" s="59"/>
      <c r="T6" s="56"/>
      <c r="U6" s="57"/>
      <c r="V6" s="163"/>
      <c r="W6" s="164">
        <v>25</v>
      </c>
      <c r="X6" s="61">
        <v>25</v>
      </c>
      <c r="Y6" s="61">
        <v>25</v>
      </c>
      <c r="Z6" s="61">
        <v>25</v>
      </c>
      <c r="AA6" s="61">
        <v>25</v>
      </c>
      <c r="AB6" s="61">
        <v>25</v>
      </c>
      <c r="AC6" s="61">
        <v>25</v>
      </c>
      <c r="AD6" s="61">
        <v>25</v>
      </c>
      <c r="AE6" s="61">
        <v>25</v>
      </c>
      <c r="AF6" s="61">
        <v>25</v>
      </c>
      <c r="AG6" s="61">
        <v>25</v>
      </c>
      <c r="AH6" s="61">
        <v>25</v>
      </c>
      <c r="AI6" s="59"/>
    </row>
    <row r="7" spans="2:35" outlineLevel="1" x14ac:dyDescent="0.2">
      <c r="B7" s="75" t="s">
        <v>209</v>
      </c>
      <c r="C7" s="39"/>
      <c r="D7" s="162"/>
      <c r="E7" s="162"/>
      <c r="F7" s="65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7">
        <f>D7</f>
        <v>0</v>
      </c>
      <c r="T7" s="49"/>
      <c r="U7" s="162"/>
      <c r="V7" s="162"/>
      <c r="W7" s="65">
        <v>0</v>
      </c>
      <c r="X7" s="66">
        <v>0</v>
      </c>
      <c r="Y7" s="66">
        <v>0</v>
      </c>
      <c r="Z7" s="66">
        <v>0</v>
      </c>
      <c r="AA7" s="66">
        <v>0</v>
      </c>
      <c r="AB7" s="66">
        <v>0</v>
      </c>
      <c r="AC7" s="66">
        <v>0</v>
      </c>
      <c r="AD7" s="66">
        <v>0</v>
      </c>
      <c r="AE7" s="66">
        <v>0</v>
      </c>
      <c r="AF7" s="66">
        <v>0</v>
      </c>
      <c r="AG7" s="66">
        <v>0</v>
      </c>
      <c r="AH7" s="66">
        <v>0</v>
      </c>
      <c r="AI7" s="67">
        <f>U7</f>
        <v>0</v>
      </c>
    </row>
    <row r="8" spans="2:35" outlineLevel="1" x14ac:dyDescent="0.2">
      <c r="B8" s="75" t="s">
        <v>211</v>
      </c>
      <c r="C8" s="39"/>
      <c r="D8" s="39"/>
      <c r="E8" s="39"/>
      <c r="F8" s="179">
        <f>F7*F6</f>
        <v>0</v>
      </c>
      <c r="G8" s="180">
        <f t="shared" ref="G8:Q8" si="0">G7*G6</f>
        <v>0</v>
      </c>
      <c r="H8" s="180">
        <f t="shared" si="0"/>
        <v>0</v>
      </c>
      <c r="I8" s="180">
        <f t="shared" si="0"/>
        <v>0</v>
      </c>
      <c r="J8" s="180">
        <f t="shared" si="0"/>
        <v>0</v>
      </c>
      <c r="K8" s="180">
        <f t="shared" si="0"/>
        <v>0</v>
      </c>
      <c r="L8" s="180">
        <f t="shared" si="0"/>
        <v>0</v>
      </c>
      <c r="M8" s="180">
        <f t="shared" si="0"/>
        <v>0</v>
      </c>
      <c r="N8" s="180">
        <f t="shared" si="0"/>
        <v>0</v>
      </c>
      <c r="O8" s="180">
        <f t="shared" si="0"/>
        <v>0</v>
      </c>
      <c r="P8" s="180">
        <f t="shared" si="0"/>
        <v>0</v>
      </c>
      <c r="Q8" s="180">
        <f t="shared" si="0"/>
        <v>0</v>
      </c>
      <c r="R8" s="181">
        <f>SUM(F8:Q8)</f>
        <v>0</v>
      </c>
      <c r="T8" s="49"/>
      <c r="U8" s="39"/>
      <c r="V8" s="39"/>
      <c r="W8" s="179">
        <f>W7*W6</f>
        <v>0</v>
      </c>
      <c r="X8" s="180">
        <f t="shared" ref="X8" si="1">X7*X6</f>
        <v>0</v>
      </c>
      <c r="Y8" s="180">
        <f t="shared" ref="Y8" si="2">Y7*Y6</f>
        <v>0</v>
      </c>
      <c r="Z8" s="180">
        <f t="shared" ref="Z8" si="3">Z7*Z6</f>
        <v>0</v>
      </c>
      <c r="AA8" s="180">
        <f t="shared" ref="AA8" si="4">AA7*AA6</f>
        <v>0</v>
      </c>
      <c r="AB8" s="180">
        <f t="shared" ref="AB8" si="5">AB7*AB6</f>
        <v>0</v>
      </c>
      <c r="AC8" s="180">
        <f t="shared" ref="AC8" si="6">AC7*AC6</f>
        <v>0</v>
      </c>
      <c r="AD8" s="180">
        <f t="shared" ref="AD8" si="7">AD7*AD6</f>
        <v>0</v>
      </c>
      <c r="AE8" s="180">
        <f t="shared" ref="AE8" si="8">AE7*AE6</f>
        <v>0</v>
      </c>
      <c r="AF8" s="180">
        <f t="shared" ref="AF8" si="9">AF7*AF6</f>
        <v>0</v>
      </c>
      <c r="AG8" s="180">
        <f t="shared" ref="AG8" si="10">AG7*AG6</f>
        <v>0</v>
      </c>
      <c r="AH8" s="180">
        <f t="shared" ref="AH8" si="11">AH7*AH6</f>
        <v>0</v>
      </c>
      <c r="AI8" s="181">
        <f>SUM(W8:AH8)</f>
        <v>0</v>
      </c>
    </row>
    <row r="9" spans="2:35" s="186" customFormat="1" x14ac:dyDescent="0.2">
      <c r="B9" s="68" t="s">
        <v>210</v>
      </c>
      <c r="C9" s="69"/>
      <c r="D9" s="169"/>
      <c r="E9" s="171"/>
      <c r="F9" s="170">
        <f>F6-F8</f>
        <v>25</v>
      </c>
      <c r="G9" s="70">
        <f>(F9+G6)-G8</f>
        <v>50</v>
      </c>
      <c r="H9" s="70">
        <f t="shared" ref="H9:Q9" si="12">(G9+H6)-H8</f>
        <v>75</v>
      </c>
      <c r="I9" s="70">
        <f t="shared" si="12"/>
        <v>100</v>
      </c>
      <c r="J9" s="70">
        <f t="shared" si="12"/>
        <v>125</v>
      </c>
      <c r="K9" s="70">
        <f t="shared" si="12"/>
        <v>150</v>
      </c>
      <c r="L9" s="70">
        <f t="shared" si="12"/>
        <v>175</v>
      </c>
      <c r="M9" s="70">
        <f t="shared" si="12"/>
        <v>200</v>
      </c>
      <c r="N9" s="70">
        <f t="shared" si="12"/>
        <v>225</v>
      </c>
      <c r="O9" s="70">
        <f t="shared" si="12"/>
        <v>250</v>
      </c>
      <c r="P9" s="70">
        <f t="shared" si="12"/>
        <v>275</v>
      </c>
      <c r="Q9" s="70">
        <f t="shared" si="12"/>
        <v>300</v>
      </c>
      <c r="R9" s="71">
        <f>Q9</f>
        <v>300</v>
      </c>
      <c r="T9" s="236"/>
      <c r="U9" s="169"/>
      <c r="V9" s="171"/>
      <c r="W9" s="170">
        <f>(W6+Q9)-W8</f>
        <v>325</v>
      </c>
      <c r="X9" s="70">
        <f>(W9+X6)-X8</f>
        <v>350</v>
      </c>
      <c r="Y9" s="70">
        <f t="shared" ref="Y9" si="13">(X9+Y6)-Y8</f>
        <v>375</v>
      </c>
      <c r="Z9" s="70">
        <f t="shared" ref="Z9" si="14">(Y9+Z6)-Z8</f>
        <v>400</v>
      </c>
      <c r="AA9" s="70">
        <f t="shared" ref="AA9" si="15">(Z9+AA6)-AA8</f>
        <v>425</v>
      </c>
      <c r="AB9" s="70">
        <f t="shared" ref="AB9" si="16">(AA9+AB6)-AB8</f>
        <v>450</v>
      </c>
      <c r="AC9" s="70">
        <f t="shared" ref="AC9" si="17">(AB9+AC6)-AC8</f>
        <v>475</v>
      </c>
      <c r="AD9" s="70">
        <f t="shared" ref="AD9" si="18">(AC9+AD6)-AD8</f>
        <v>500</v>
      </c>
      <c r="AE9" s="70">
        <f t="shared" ref="AE9" si="19">(AD9+AE6)-AE8</f>
        <v>525</v>
      </c>
      <c r="AF9" s="70">
        <f t="shared" ref="AF9" si="20">(AE9+AF6)-AF8</f>
        <v>550</v>
      </c>
      <c r="AG9" s="70">
        <f t="shared" ref="AG9" si="21">(AF9+AG6)-AG8</f>
        <v>575</v>
      </c>
      <c r="AH9" s="70">
        <f t="shared" ref="AH9" si="22">(AG9+AH6)-AH8</f>
        <v>600</v>
      </c>
      <c r="AI9" s="71">
        <f>AH9</f>
        <v>600</v>
      </c>
    </row>
    <row r="10" spans="2:35" s="186" customFormat="1" x14ac:dyDescent="0.2">
      <c r="B10" s="74" t="s">
        <v>212</v>
      </c>
      <c r="C10" s="41"/>
      <c r="D10" s="166"/>
      <c r="E10" s="167"/>
      <c r="F10" s="165"/>
      <c r="G10" s="172">
        <f>(G9-F9)/F9</f>
        <v>1</v>
      </c>
      <c r="H10" s="172">
        <f t="shared" ref="H10:I10" si="23">(H9-G9)/G9</f>
        <v>0.5</v>
      </c>
      <c r="I10" s="172">
        <f t="shared" si="23"/>
        <v>0.33333333333333331</v>
      </c>
      <c r="J10" s="172">
        <f t="shared" ref="J10" si="24">(J9-I9)/I9</f>
        <v>0.25</v>
      </c>
      <c r="K10" s="172">
        <f t="shared" ref="K10" si="25">(K9-J9)/J9</f>
        <v>0.2</v>
      </c>
      <c r="L10" s="172">
        <f t="shared" ref="L10" si="26">(L9-K9)/K9</f>
        <v>0.16666666666666666</v>
      </c>
      <c r="M10" s="172">
        <f t="shared" ref="M10" si="27">(M9-L9)/L9</f>
        <v>0.14285714285714285</v>
      </c>
      <c r="N10" s="172">
        <f t="shared" ref="N10" si="28">(N9-M9)/M9</f>
        <v>0.125</v>
      </c>
      <c r="O10" s="172">
        <f t="shared" ref="O10" si="29">(O9-N9)/N9</f>
        <v>0.1111111111111111</v>
      </c>
      <c r="P10" s="172">
        <f t="shared" ref="P10" si="30">(P9-O9)/O9</f>
        <v>0.1</v>
      </c>
      <c r="Q10" s="172">
        <f t="shared" ref="Q10" si="31">(Q9-P9)/P9</f>
        <v>9.0909090909090912E-2</v>
      </c>
      <c r="R10" s="168"/>
      <c r="T10" s="269"/>
      <c r="U10" s="166"/>
      <c r="V10" s="167"/>
      <c r="W10" s="172">
        <f>(W9-Q9)/Q9</f>
        <v>8.3333333333333329E-2</v>
      </c>
      <c r="X10" s="172">
        <f>(X9-W9)/W9</f>
        <v>7.6923076923076927E-2</v>
      </c>
      <c r="Y10" s="172">
        <f t="shared" ref="Y10" si="32">(Y9-X9)/X9</f>
        <v>7.1428571428571425E-2</v>
      </c>
      <c r="Z10" s="172">
        <f t="shared" ref="Z10" si="33">(Z9-Y9)/Y9</f>
        <v>6.6666666666666666E-2</v>
      </c>
      <c r="AA10" s="172">
        <f t="shared" ref="AA10" si="34">(AA9-Z9)/Z9</f>
        <v>6.25E-2</v>
      </c>
      <c r="AB10" s="172">
        <f t="shared" ref="AB10" si="35">(AB9-AA9)/AA9</f>
        <v>5.8823529411764705E-2</v>
      </c>
      <c r="AC10" s="172">
        <f t="shared" ref="AC10" si="36">(AC9-AB9)/AB9</f>
        <v>5.5555555555555552E-2</v>
      </c>
      <c r="AD10" s="172">
        <f t="shared" ref="AD10" si="37">(AD9-AC9)/AC9</f>
        <v>5.2631578947368418E-2</v>
      </c>
      <c r="AE10" s="172">
        <f t="shared" ref="AE10" si="38">(AE9-AD9)/AD9</f>
        <v>0.05</v>
      </c>
      <c r="AF10" s="172">
        <f t="shared" ref="AF10" si="39">(AF9-AE9)/AE9</f>
        <v>4.7619047619047616E-2</v>
      </c>
      <c r="AG10" s="172">
        <f t="shared" ref="AG10" si="40">(AG9-AF9)/AF9</f>
        <v>4.5454545454545456E-2</v>
      </c>
      <c r="AH10" s="172">
        <f t="shared" ref="AH10" si="41">(AH9-AG9)/AG9</f>
        <v>4.3478260869565216E-2</v>
      </c>
      <c r="AI10" s="168"/>
    </row>
    <row r="11" spans="2:35" outlineLevel="1" x14ac:dyDescent="0.2">
      <c r="B11" s="182"/>
      <c r="C11" s="41"/>
      <c r="D11" s="73"/>
      <c r="E11" s="76"/>
      <c r="F11" s="173"/>
      <c r="G11" s="173"/>
      <c r="H11" s="173"/>
      <c r="I11" s="175"/>
      <c r="J11" s="173"/>
      <c r="K11" s="173"/>
      <c r="L11" s="173"/>
      <c r="M11" s="173"/>
      <c r="N11" s="173"/>
      <c r="O11" s="173"/>
      <c r="P11" s="173"/>
      <c r="Q11" s="173"/>
      <c r="R11" s="174"/>
      <c r="T11" s="269"/>
      <c r="U11" s="73"/>
      <c r="V11" s="76"/>
      <c r="W11" s="173"/>
      <c r="X11" s="173"/>
      <c r="Y11" s="173"/>
      <c r="Z11" s="175"/>
      <c r="AA11" s="173"/>
      <c r="AB11" s="173"/>
      <c r="AC11" s="173"/>
      <c r="AD11" s="173"/>
      <c r="AE11" s="173"/>
      <c r="AF11" s="173"/>
      <c r="AG11" s="173"/>
      <c r="AH11" s="173"/>
      <c r="AI11" s="174"/>
    </row>
    <row r="12" spans="2:35" outlineLevel="1" x14ac:dyDescent="0.2">
      <c r="B12" s="183" t="s">
        <v>79</v>
      </c>
      <c r="C12" s="39"/>
      <c r="D12" s="39"/>
      <c r="E12" s="275">
        <v>500</v>
      </c>
      <c r="F12" s="276"/>
      <c r="G12" s="276"/>
      <c r="H12" s="276"/>
      <c r="I12" s="276"/>
      <c r="J12" s="276">
        <f t="shared" ref="J12:Q12" si="42">J6*$E$12</f>
        <v>12500</v>
      </c>
      <c r="K12" s="276">
        <f t="shared" si="42"/>
        <v>12500</v>
      </c>
      <c r="L12" s="276">
        <f t="shared" si="42"/>
        <v>12500</v>
      </c>
      <c r="M12" s="276">
        <f t="shared" si="42"/>
        <v>12500</v>
      </c>
      <c r="N12" s="276">
        <f t="shared" si="42"/>
        <v>12500</v>
      </c>
      <c r="O12" s="276">
        <f t="shared" si="42"/>
        <v>12500</v>
      </c>
      <c r="P12" s="276">
        <f t="shared" si="42"/>
        <v>12500</v>
      </c>
      <c r="Q12" s="276">
        <f t="shared" si="42"/>
        <v>12500</v>
      </c>
      <c r="R12" s="276">
        <f>SUM(F12:Q12)</f>
        <v>100000</v>
      </c>
      <c r="T12" s="49"/>
      <c r="U12" s="39"/>
      <c r="V12" s="275">
        <v>500</v>
      </c>
      <c r="W12" s="276">
        <f>W6*$V$12</f>
        <v>12500</v>
      </c>
      <c r="X12" s="276">
        <f t="shared" ref="X12:AH12" si="43">X6*$V$12</f>
        <v>12500</v>
      </c>
      <c r="Y12" s="276">
        <f t="shared" si="43"/>
        <v>12500</v>
      </c>
      <c r="Z12" s="276">
        <f t="shared" si="43"/>
        <v>12500</v>
      </c>
      <c r="AA12" s="276">
        <f t="shared" si="43"/>
        <v>12500</v>
      </c>
      <c r="AB12" s="276">
        <f t="shared" si="43"/>
        <v>12500</v>
      </c>
      <c r="AC12" s="276">
        <f t="shared" si="43"/>
        <v>12500</v>
      </c>
      <c r="AD12" s="276">
        <f t="shared" si="43"/>
        <v>12500</v>
      </c>
      <c r="AE12" s="276">
        <f t="shared" si="43"/>
        <v>12500</v>
      </c>
      <c r="AF12" s="276">
        <f t="shared" si="43"/>
        <v>12500</v>
      </c>
      <c r="AG12" s="276">
        <f t="shared" si="43"/>
        <v>12500</v>
      </c>
      <c r="AH12" s="276">
        <f t="shared" si="43"/>
        <v>12500</v>
      </c>
      <c r="AI12" s="276">
        <f>SUM(W12:AH12)</f>
        <v>150000</v>
      </c>
    </row>
    <row r="13" spans="2:35" s="39" customFormat="1" outlineLevel="1" x14ac:dyDescent="0.2">
      <c r="B13" s="182"/>
      <c r="E13" s="17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T13" s="49"/>
      <c r="V13" s="176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</row>
    <row r="14" spans="2:35" s="39" customFormat="1" outlineLevel="1" x14ac:dyDescent="0.2">
      <c r="B14" s="182"/>
      <c r="D14" s="187" t="s">
        <v>214</v>
      </c>
      <c r="E14" s="178" t="s">
        <v>215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T14" s="49"/>
      <c r="U14" s="187" t="s">
        <v>214</v>
      </c>
      <c r="V14" s="178" t="s">
        <v>215</v>
      </c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</row>
    <row r="15" spans="2:35" outlineLevel="1" x14ac:dyDescent="0.2">
      <c r="B15" s="183" t="s">
        <v>213</v>
      </c>
      <c r="C15" s="39"/>
      <c r="D15" s="188">
        <v>200</v>
      </c>
      <c r="E15" s="189">
        <v>0.4</v>
      </c>
      <c r="F15" s="190">
        <f t="shared" ref="F15:O15" si="44">F6*$E$15</f>
        <v>10</v>
      </c>
      <c r="G15" s="190">
        <f t="shared" si="44"/>
        <v>10</v>
      </c>
      <c r="H15" s="190">
        <f t="shared" si="44"/>
        <v>10</v>
      </c>
      <c r="I15" s="190">
        <f t="shared" si="44"/>
        <v>10</v>
      </c>
      <c r="J15" s="190">
        <f t="shared" si="44"/>
        <v>10</v>
      </c>
      <c r="K15" s="190">
        <f t="shared" si="44"/>
        <v>10</v>
      </c>
      <c r="L15" s="190">
        <f t="shared" si="44"/>
        <v>10</v>
      </c>
      <c r="M15" s="190">
        <f t="shared" si="44"/>
        <v>10</v>
      </c>
      <c r="N15" s="190">
        <f t="shared" si="44"/>
        <v>10</v>
      </c>
      <c r="O15" s="190">
        <f t="shared" si="44"/>
        <v>10</v>
      </c>
      <c r="P15" s="190">
        <f t="shared" ref="P15:Q15" si="45">P6*$E$15</f>
        <v>10</v>
      </c>
      <c r="Q15" s="190">
        <f t="shared" si="45"/>
        <v>10</v>
      </c>
      <c r="R15" s="191">
        <f>SUM(F15:Q15)</f>
        <v>120</v>
      </c>
      <c r="T15" s="49"/>
      <c r="U15" s="188">
        <v>200</v>
      </c>
      <c r="V15" s="189">
        <v>0.3</v>
      </c>
      <c r="W15" s="304">
        <f>W6*$V$15</f>
        <v>7.5</v>
      </c>
      <c r="X15" s="305">
        <f>X6*$V$15</f>
        <v>7.5</v>
      </c>
      <c r="Y15" s="305">
        <f t="shared" ref="Y15:AD15" si="46">Y6*$V$15</f>
        <v>7.5</v>
      </c>
      <c r="Z15" s="305">
        <f t="shared" si="46"/>
        <v>7.5</v>
      </c>
      <c r="AA15" s="305">
        <f t="shared" si="46"/>
        <v>7.5</v>
      </c>
      <c r="AB15" s="305">
        <f t="shared" si="46"/>
        <v>7.5</v>
      </c>
      <c r="AC15" s="305">
        <f t="shared" si="46"/>
        <v>7.5</v>
      </c>
      <c r="AD15" s="305">
        <f t="shared" si="46"/>
        <v>7.5</v>
      </c>
      <c r="AE15" s="305">
        <f t="shared" ref="AE15:AH15" si="47">AE6*$V$15</f>
        <v>7.5</v>
      </c>
      <c r="AF15" s="305">
        <f t="shared" si="47"/>
        <v>7.5</v>
      </c>
      <c r="AG15" s="305">
        <f t="shared" si="47"/>
        <v>7.5</v>
      </c>
      <c r="AH15" s="305">
        <f t="shared" si="47"/>
        <v>7.5</v>
      </c>
      <c r="AI15" s="191">
        <f>SUM(W15:AH15)</f>
        <v>90</v>
      </c>
    </row>
    <row r="16" spans="2:35" outlineLevel="1" x14ac:dyDescent="0.2">
      <c r="B16" s="184" t="s">
        <v>216</v>
      </c>
      <c r="C16" s="39"/>
      <c r="D16" s="188"/>
      <c r="E16" s="189"/>
      <c r="F16" s="190"/>
      <c r="G16" s="190">
        <f t="shared" ref="G16:O16" si="48">G9*$E$15</f>
        <v>20</v>
      </c>
      <c r="H16" s="190">
        <f t="shared" si="48"/>
        <v>30</v>
      </c>
      <c r="I16" s="190">
        <f t="shared" si="48"/>
        <v>40</v>
      </c>
      <c r="J16" s="190">
        <f t="shared" si="48"/>
        <v>50</v>
      </c>
      <c r="K16" s="190">
        <f t="shared" si="48"/>
        <v>60</v>
      </c>
      <c r="L16" s="190">
        <f t="shared" si="48"/>
        <v>70</v>
      </c>
      <c r="M16" s="190">
        <f t="shared" si="48"/>
        <v>80</v>
      </c>
      <c r="N16" s="190">
        <f t="shared" si="48"/>
        <v>90</v>
      </c>
      <c r="O16" s="190">
        <f t="shared" si="48"/>
        <v>100</v>
      </c>
      <c r="P16" s="190">
        <f t="shared" ref="P16:Q16" si="49">P9*$E$15</f>
        <v>110</v>
      </c>
      <c r="Q16" s="190">
        <f t="shared" si="49"/>
        <v>120</v>
      </c>
      <c r="R16" s="191"/>
      <c r="T16" s="49"/>
      <c r="U16" s="188"/>
      <c r="V16" s="189"/>
      <c r="W16" s="190">
        <f>W9*$V$15</f>
        <v>97.5</v>
      </c>
      <c r="X16" s="190">
        <f>X9*$V$15</f>
        <v>105</v>
      </c>
      <c r="Y16" s="190">
        <f t="shared" ref="Y16:AD16" si="50">Y9*$V$15</f>
        <v>112.5</v>
      </c>
      <c r="Z16" s="190">
        <f t="shared" si="50"/>
        <v>120</v>
      </c>
      <c r="AA16" s="190">
        <f t="shared" si="50"/>
        <v>127.5</v>
      </c>
      <c r="AB16" s="190">
        <f t="shared" si="50"/>
        <v>135</v>
      </c>
      <c r="AC16" s="190">
        <f t="shared" si="50"/>
        <v>142.5</v>
      </c>
      <c r="AD16" s="190">
        <f t="shared" si="50"/>
        <v>150</v>
      </c>
      <c r="AE16" s="190">
        <f t="shared" ref="AE16:AH16" si="51">AE9*$V$15</f>
        <v>157.5</v>
      </c>
      <c r="AF16" s="190">
        <f t="shared" si="51"/>
        <v>165</v>
      </c>
      <c r="AG16" s="190">
        <f t="shared" si="51"/>
        <v>172.5</v>
      </c>
      <c r="AH16" s="190">
        <f t="shared" si="51"/>
        <v>180</v>
      </c>
      <c r="AI16" s="191"/>
    </row>
    <row r="17" spans="1:35" outlineLevel="1" x14ac:dyDescent="0.2">
      <c r="B17" s="183" t="s">
        <v>242</v>
      </c>
      <c r="C17" s="39"/>
      <c r="D17" s="192">
        <v>300</v>
      </c>
      <c r="E17" s="193">
        <v>0.5</v>
      </c>
      <c r="F17" s="194">
        <f t="shared" ref="F17:Q17" si="52">F6*$E$17</f>
        <v>12.5</v>
      </c>
      <c r="G17" s="194">
        <f t="shared" si="52"/>
        <v>12.5</v>
      </c>
      <c r="H17" s="194">
        <f t="shared" si="52"/>
        <v>12.5</v>
      </c>
      <c r="I17" s="194">
        <f t="shared" si="52"/>
        <v>12.5</v>
      </c>
      <c r="J17" s="194">
        <f t="shared" si="52"/>
        <v>12.5</v>
      </c>
      <c r="K17" s="194">
        <f t="shared" si="52"/>
        <v>12.5</v>
      </c>
      <c r="L17" s="194">
        <f t="shared" si="52"/>
        <v>12.5</v>
      </c>
      <c r="M17" s="194">
        <f t="shared" si="52"/>
        <v>12.5</v>
      </c>
      <c r="N17" s="194">
        <f t="shared" si="52"/>
        <v>12.5</v>
      </c>
      <c r="O17" s="194">
        <f t="shared" si="52"/>
        <v>12.5</v>
      </c>
      <c r="P17" s="194">
        <f t="shared" si="52"/>
        <v>12.5</v>
      </c>
      <c r="Q17" s="195">
        <f t="shared" si="52"/>
        <v>12.5</v>
      </c>
      <c r="R17" s="195">
        <f t="shared" ref="R17:R19" si="53">SUM(F17:Q17)</f>
        <v>150</v>
      </c>
      <c r="T17" s="49"/>
      <c r="U17" s="192">
        <v>300</v>
      </c>
      <c r="V17" s="193">
        <v>0.5</v>
      </c>
      <c r="W17" s="194">
        <f>W6*$V$17</f>
        <v>12.5</v>
      </c>
      <c r="X17" s="194">
        <f>X6*$V$17</f>
        <v>12.5</v>
      </c>
      <c r="Y17" s="194">
        <f t="shared" ref="Y17:AH17" si="54">Y6*$V$17</f>
        <v>12.5</v>
      </c>
      <c r="Z17" s="194">
        <f t="shared" si="54"/>
        <v>12.5</v>
      </c>
      <c r="AA17" s="194">
        <f t="shared" si="54"/>
        <v>12.5</v>
      </c>
      <c r="AB17" s="194">
        <f t="shared" si="54"/>
        <v>12.5</v>
      </c>
      <c r="AC17" s="194">
        <f t="shared" si="54"/>
        <v>12.5</v>
      </c>
      <c r="AD17" s="194">
        <f t="shared" si="54"/>
        <v>12.5</v>
      </c>
      <c r="AE17" s="194">
        <f t="shared" si="54"/>
        <v>12.5</v>
      </c>
      <c r="AF17" s="194">
        <f t="shared" si="54"/>
        <v>12.5</v>
      </c>
      <c r="AG17" s="194">
        <f t="shared" si="54"/>
        <v>12.5</v>
      </c>
      <c r="AH17" s="194">
        <f t="shared" si="54"/>
        <v>12.5</v>
      </c>
      <c r="AI17" s="195">
        <f>SUM(W17:AH17)</f>
        <v>150</v>
      </c>
    </row>
    <row r="18" spans="1:35" outlineLevel="1" x14ac:dyDescent="0.2">
      <c r="B18" s="184" t="s">
        <v>216</v>
      </c>
      <c r="C18" s="39"/>
      <c r="D18" s="192"/>
      <c r="E18" s="193"/>
      <c r="F18" s="194"/>
      <c r="G18" s="194">
        <f t="shared" ref="G18:Q18" si="55">G9*$E$17</f>
        <v>25</v>
      </c>
      <c r="H18" s="194">
        <f t="shared" si="55"/>
        <v>37.5</v>
      </c>
      <c r="I18" s="194">
        <f t="shared" si="55"/>
        <v>50</v>
      </c>
      <c r="J18" s="194">
        <f t="shared" si="55"/>
        <v>62.5</v>
      </c>
      <c r="K18" s="194">
        <f t="shared" si="55"/>
        <v>75</v>
      </c>
      <c r="L18" s="194">
        <f t="shared" si="55"/>
        <v>87.5</v>
      </c>
      <c r="M18" s="194">
        <f t="shared" si="55"/>
        <v>100</v>
      </c>
      <c r="N18" s="194">
        <f t="shared" si="55"/>
        <v>112.5</v>
      </c>
      <c r="O18" s="194">
        <f t="shared" si="55"/>
        <v>125</v>
      </c>
      <c r="P18" s="194">
        <f t="shared" si="55"/>
        <v>137.5</v>
      </c>
      <c r="Q18" s="195">
        <f t="shared" si="55"/>
        <v>150</v>
      </c>
      <c r="R18" s="195"/>
      <c r="T18" s="49"/>
      <c r="U18" s="192"/>
      <c r="V18" s="193"/>
      <c r="W18" s="194">
        <f>W9*$V$17</f>
        <v>162.5</v>
      </c>
      <c r="X18" s="194">
        <f>X9*$V$17</f>
        <v>175</v>
      </c>
      <c r="Y18" s="194">
        <f t="shared" ref="Y18:AH18" si="56">Y9*$V$17</f>
        <v>187.5</v>
      </c>
      <c r="Z18" s="194">
        <f t="shared" si="56"/>
        <v>200</v>
      </c>
      <c r="AA18" s="194">
        <f t="shared" si="56"/>
        <v>212.5</v>
      </c>
      <c r="AB18" s="194">
        <f t="shared" si="56"/>
        <v>225</v>
      </c>
      <c r="AC18" s="194">
        <f t="shared" si="56"/>
        <v>237.5</v>
      </c>
      <c r="AD18" s="194">
        <f t="shared" si="56"/>
        <v>250</v>
      </c>
      <c r="AE18" s="194">
        <f t="shared" si="56"/>
        <v>262.5</v>
      </c>
      <c r="AF18" s="194">
        <f t="shared" si="56"/>
        <v>275</v>
      </c>
      <c r="AG18" s="194">
        <f t="shared" si="56"/>
        <v>287.5</v>
      </c>
      <c r="AH18" s="194">
        <f t="shared" si="56"/>
        <v>300</v>
      </c>
      <c r="AI18" s="195"/>
    </row>
    <row r="19" spans="1:35" outlineLevel="1" x14ac:dyDescent="0.2">
      <c r="B19" s="183" t="s">
        <v>243</v>
      </c>
      <c r="C19" s="39"/>
      <c r="D19" s="196">
        <v>100</v>
      </c>
      <c r="E19" s="197">
        <v>0.1</v>
      </c>
      <c r="F19" s="198">
        <f t="shared" ref="F19:O19" si="57">F6*$E$19</f>
        <v>2.5</v>
      </c>
      <c r="G19" s="198">
        <f t="shared" si="57"/>
        <v>2.5</v>
      </c>
      <c r="H19" s="198">
        <f t="shared" si="57"/>
        <v>2.5</v>
      </c>
      <c r="I19" s="198">
        <f t="shared" si="57"/>
        <v>2.5</v>
      </c>
      <c r="J19" s="198">
        <f t="shared" si="57"/>
        <v>2.5</v>
      </c>
      <c r="K19" s="198">
        <f t="shared" si="57"/>
        <v>2.5</v>
      </c>
      <c r="L19" s="198">
        <f t="shared" si="57"/>
        <v>2.5</v>
      </c>
      <c r="M19" s="198">
        <f t="shared" si="57"/>
        <v>2.5</v>
      </c>
      <c r="N19" s="198">
        <f t="shared" si="57"/>
        <v>2.5</v>
      </c>
      <c r="O19" s="198">
        <f t="shared" si="57"/>
        <v>2.5</v>
      </c>
      <c r="P19" s="198">
        <f t="shared" ref="P19:Q19" si="58">P6*$E$19</f>
        <v>2.5</v>
      </c>
      <c r="Q19" s="198">
        <f t="shared" si="58"/>
        <v>2.5</v>
      </c>
      <c r="R19" s="199">
        <f t="shared" si="53"/>
        <v>30</v>
      </c>
      <c r="T19" s="49"/>
      <c r="U19" s="196">
        <v>100</v>
      </c>
      <c r="V19" s="197">
        <v>0.17</v>
      </c>
      <c r="W19" s="198">
        <f>W6*$V$19</f>
        <v>4.25</v>
      </c>
      <c r="X19" s="198">
        <f>X6*$V$19</f>
        <v>4.25</v>
      </c>
      <c r="Y19" s="198">
        <f t="shared" ref="Y19:AH19" si="59">Y6*$V$19</f>
        <v>4.25</v>
      </c>
      <c r="Z19" s="198">
        <f t="shared" si="59"/>
        <v>4.25</v>
      </c>
      <c r="AA19" s="198">
        <f t="shared" si="59"/>
        <v>4.25</v>
      </c>
      <c r="AB19" s="198">
        <f t="shared" si="59"/>
        <v>4.25</v>
      </c>
      <c r="AC19" s="198">
        <f t="shared" si="59"/>
        <v>4.25</v>
      </c>
      <c r="AD19" s="198">
        <f t="shared" si="59"/>
        <v>4.25</v>
      </c>
      <c r="AE19" s="198">
        <f t="shared" si="59"/>
        <v>4.25</v>
      </c>
      <c r="AF19" s="198">
        <f t="shared" si="59"/>
        <v>4.25</v>
      </c>
      <c r="AG19" s="198">
        <f t="shared" si="59"/>
        <v>4.25</v>
      </c>
      <c r="AH19" s="198">
        <f t="shared" si="59"/>
        <v>4.25</v>
      </c>
      <c r="AI19" s="199">
        <f t="shared" ref="AI19" si="60">SUM(W19:AH19)</f>
        <v>51</v>
      </c>
    </row>
    <row r="20" spans="1:35" outlineLevel="1" x14ac:dyDescent="0.2">
      <c r="B20" s="184" t="s">
        <v>216</v>
      </c>
      <c r="C20" s="39"/>
      <c r="D20" s="196"/>
      <c r="E20" s="200"/>
      <c r="F20" s="201"/>
      <c r="G20" s="201">
        <f t="shared" ref="G20:O20" si="61">G9*$E$19</f>
        <v>5</v>
      </c>
      <c r="H20" s="201">
        <f t="shared" si="61"/>
        <v>7.5</v>
      </c>
      <c r="I20" s="201">
        <f t="shared" si="61"/>
        <v>10</v>
      </c>
      <c r="J20" s="201">
        <f t="shared" si="61"/>
        <v>12.5</v>
      </c>
      <c r="K20" s="201">
        <f t="shared" si="61"/>
        <v>15</v>
      </c>
      <c r="L20" s="201">
        <f t="shared" si="61"/>
        <v>17.5</v>
      </c>
      <c r="M20" s="201">
        <f t="shared" si="61"/>
        <v>20</v>
      </c>
      <c r="N20" s="201">
        <f t="shared" si="61"/>
        <v>22.5</v>
      </c>
      <c r="O20" s="201">
        <f t="shared" si="61"/>
        <v>25</v>
      </c>
      <c r="P20" s="201">
        <f t="shared" ref="P20:Q20" si="62">P9*$E$19</f>
        <v>27.5</v>
      </c>
      <c r="Q20" s="201">
        <f t="shared" si="62"/>
        <v>30</v>
      </c>
      <c r="R20" s="202"/>
      <c r="T20" s="49"/>
      <c r="U20" s="196"/>
      <c r="V20" s="200"/>
      <c r="W20" s="201">
        <f>W9*$V$19</f>
        <v>55.250000000000007</v>
      </c>
      <c r="X20" s="201">
        <f>X9*$V$19</f>
        <v>59.500000000000007</v>
      </c>
      <c r="Y20" s="201">
        <f t="shared" ref="Y20:AH20" si="63">Y9*$V$19</f>
        <v>63.750000000000007</v>
      </c>
      <c r="Z20" s="201">
        <f t="shared" si="63"/>
        <v>68</v>
      </c>
      <c r="AA20" s="201">
        <f t="shared" si="63"/>
        <v>72.25</v>
      </c>
      <c r="AB20" s="201">
        <f t="shared" si="63"/>
        <v>76.5</v>
      </c>
      <c r="AC20" s="201">
        <f t="shared" si="63"/>
        <v>80.75</v>
      </c>
      <c r="AD20" s="201">
        <f t="shared" si="63"/>
        <v>85</v>
      </c>
      <c r="AE20" s="201">
        <f t="shared" si="63"/>
        <v>89.25</v>
      </c>
      <c r="AF20" s="201">
        <f t="shared" si="63"/>
        <v>93.5</v>
      </c>
      <c r="AG20" s="201">
        <f t="shared" si="63"/>
        <v>97.75</v>
      </c>
      <c r="AH20" s="201">
        <f t="shared" si="63"/>
        <v>102.00000000000001</v>
      </c>
      <c r="AI20" s="202"/>
    </row>
    <row r="21" spans="1:35" s="39" customFormat="1" outlineLevel="1" x14ac:dyDescent="0.2">
      <c r="B21" s="209"/>
      <c r="D21" s="208"/>
      <c r="E21" s="205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T21" s="49"/>
      <c r="U21" s="208"/>
      <c r="V21" s="205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</row>
    <row r="22" spans="1:35" s="39" customFormat="1" outlineLevel="1" x14ac:dyDescent="0.2">
      <c r="A22" s="98"/>
      <c r="B22" s="203"/>
      <c r="D22" s="204"/>
      <c r="E22" s="178" t="s">
        <v>220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T22" s="49"/>
      <c r="U22" s="204"/>
      <c r="V22" s="178" t="s">
        <v>220</v>
      </c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</row>
    <row r="23" spans="1:35" outlineLevel="1" x14ac:dyDescent="0.2">
      <c r="B23" s="183" t="s">
        <v>217</v>
      </c>
      <c r="C23" s="39"/>
      <c r="D23" s="206"/>
      <c r="E23" s="211">
        <v>80</v>
      </c>
      <c r="F23" s="212">
        <f>F15*$E$23</f>
        <v>800</v>
      </c>
      <c r="G23" s="223">
        <f t="shared" ref="G23:Q23" si="64">G15*$E$23</f>
        <v>800</v>
      </c>
      <c r="H23" s="223">
        <f t="shared" si="64"/>
        <v>800</v>
      </c>
      <c r="I23" s="223">
        <f t="shared" si="64"/>
        <v>800</v>
      </c>
      <c r="J23" s="223">
        <f t="shared" si="64"/>
        <v>800</v>
      </c>
      <c r="K23" s="223">
        <f t="shared" si="64"/>
        <v>800</v>
      </c>
      <c r="L23" s="223">
        <f t="shared" si="64"/>
        <v>800</v>
      </c>
      <c r="M23" s="223">
        <f t="shared" si="64"/>
        <v>800</v>
      </c>
      <c r="N23" s="223">
        <f t="shared" si="64"/>
        <v>800</v>
      </c>
      <c r="O23" s="223">
        <f t="shared" si="64"/>
        <v>800</v>
      </c>
      <c r="P23" s="223">
        <f t="shared" si="64"/>
        <v>800</v>
      </c>
      <c r="Q23" s="226">
        <f t="shared" si="64"/>
        <v>800</v>
      </c>
      <c r="R23" s="213"/>
      <c r="T23" s="49"/>
      <c r="U23" s="206"/>
      <c r="V23" s="211">
        <v>80</v>
      </c>
      <c r="W23" s="306">
        <f>W15*$V$23</f>
        <v>600</v>
      </c>
      <c r="X23" s="307">
        <f>X15*$V$23</f>
        <v>600</v>
      </c>
      <c r="Y23" s="307">
        <f t="shared" ref="Y23:AH23" si="65">Y15*$V$23</f>
        <v>600</v>
      </c>
      <c r="Z23" s="307">
        <f t="shared" si="65"/>
        <v>600</v>
      </c>
      <c r="AA23" s="307">
        <f t="shared" si="65"/>
        <v>600</v>
      </c>
      <c r="AB23" s="307">
        <f t="shared" si="65"/>
        <v>600</v>
      </c>
      <c r="AC23" s="307">
        <f t="shared" si="65"/>
        <v>600</v>
      </c>
      <c r="AD23" s="307">
        <f t="shared" si="65"/>
        <v>600</v>
      </c>
      <c r="AE23" s="307">
        <f t="shared" si="65"/>
        <v>600</v>
      </c>
      <c r="AF23" s="307">
        <f t="shared" si="65"/>
        <v>600</v>
      </c>
      <c r="AG23" s="307">
        <f t="shared" si="65"/>
        <v>600</v>
      </c>
      <c r="AH23" s="308">
        <f t="shared" si="65"/>
        <v>600</v>
      </c>
      <c r="AI23" s="213"/>
    </row>
    <row r="24" spans="1:35" outlineLevel="1" x14ac:dyDescent="0.2">
      <c r="B24" s="184" t="s">
        <v>216</v>
      </c>
      <c r="C24" s="39"/>
      <c r="D24" s="206"/>
      <c r="E24" s="211"/>
      <c r="F24" s="214"/>
      <c r="G24" s="229">
        <f>G16*$E$23</f>
        <v>1600</v>
      </c>
      <c r="H24" s="229">
        <f t="shared" ref="H24:Q24" si="66">H16*$E$23</f>
        <v>2400</v>
      </c>
      <c r="I24" s="229">
        <f t="shared" si="66"/>
        <v>3200</v>
      </c>
      <c r="J24" s="229">
        <f t="shared" si="66"/>
        <v>4000</v>
      </c>
      <c r="K24" s="229">
        <f t="shared" si="66"/>
        <v>4800</v>
      </c>
      <c r="L24" s="229">
        <f t="shared" si="66"/>
        <v>5600</v>
      </c>
      <c r="M24" s="229">
        <f t="shared" si="66"/>
        <v>6400</v>
      </c>
      <c r="N24" s="229">
        <f t="shared" si="66"/>
        <v>7200</v>
      </c>
      <c r="O24" s="229">
        <f t="shared" si="66"/>
        <v>8000</v>
      </c>
      <c r="P24" s="229">
        <f t="shared" si="66"/>
        <v>8800</v>
      </c>
      <c r="Q24" s="230">
        <f t="shared" si="66"/>
        <v>9600</v>
      </c>
      <c r="R24" s="230">
        <f>SUM(F24:Q24)+F23</f>
        <v>62400</v>
      </c>
      <c r="T24" s="49"/>
      <c r="U24" s="206"/>
      <c r="V24" s="211"/>
      <c r="W24" s="229">
        <f>W16*$V$23</f>
        <v>7800</v>
      </c>
      <c r="X24" s="229">
        <f>X16*$V$23</f>
        <v>8400</v>
      </c>
      <c r="Y24" s="229">
        <f t="shared" ref="Y24:AH24" si="67">Y16*$V$23</f>
        <v>9000</v>
      </c>
      <c r="Z24" s="229">
        <f t="shared" si="67"/>
        <v>9600</v>
      </c>
      <c r="AA24" s="229">
        <f t="shared" si="67"/>
        <v>10200</v>
      </c>
      <c r="AB24" s="229">
        <f t="shared" si="67"/>
        <v>10800</v>
      </c>
      <c r="AC24" s="229">
        <f t="shared" si="67"/>
        <v>11400</v>
      </c>
      <c r="AD24" s="229">
        <f t="shared" si="67"/>
        <v>12000</v>
      </c>
      <c r="AE24" s="229">
        <f t="shared" si="67"/>
        <v>12600</v>
      </c>
      <c r="AF24" s="229">
        <f t="shared" si="67"/>
        <v>13200</v>
      </c>
      <c r="AG24" s="229">
        <f t="shared" si="67"/>
        <v>13800</v>
      </c>
      <c r="AH24" s="230">
        <f t="shared" si="67"/>
        <v>14400</v>
      </c>
      <c r="AI24" s="230">
        <f>SUM(W24:AH24)</f>
        <v>133200</v>
      </c>
    </row>
    <row r="25" spans="1:35" outlineLevel="1" x14ac:dyDescent="0.2">
      <c r="B25" s="183" t="s">
        <v>218</v>
      </c>
      <c r="C25" s="39"/>
      <c r="D25" s="207"/>
      <c r="E25" s="215">
        <v>180</v>
      </c>
      <c r="F25" s="216">
        <f>F17*$E$25</f>
        <v>2250</v>
      </c>
      <c r="G25" s="224">
        <f t="shared" ref="G25:Q25" si="68">G17*$E$25</f>
        <v>2250</v>
      </c>
      <c r="H25" s="224">
        <f t="shared" si="68"/>
        <v>2250</v>
      </c>
      <c r="I25" s="224">
        <f t="shared" si="68"/>
        <v>2250</v>
      </c>
      <c r="J25" s="224">
        <f t="shared" si="68"/>
        <v>2250</v>
      </c>
      <c r="K25" s="224">
        <f t="shared" si="68"/>
        <v>2250</v>
      </c>
      <c r="L25" s="224">
        <f t="shared" si="68"/>
        <v>2250</v>
      </c>
      <c r="M25" s="224">
        <f t="shared" si="68"/>
        <v>2250</v>
      </c>
      <c r="N25" s="224">
        <f t="shared" si="68"/>
        <v>2250</v>
      </c>
      <c r="O25" s="224">
        <f t="shared" si="68"/>
        <v>2250</v>
      </c>
      <c r="P25" s="224">
        <f t="shared" si="68"/>
        <v>2250</v>
      </c>
      <c r="Q25" s="227">
        <f t="shared" si="68"/>
        <v>2250</v>
      </c>
      <c r="R25" s="217"/>
      <c r="T25" s="49"/>
      <c r="U25" s="207"/>
      <c r="V25" s="215">
        <v>180</v>
      </c>
      <c r="W25" s="216">
        <f>W17*$V$25</f>
        <v>2250</v>
      </c>
      <c r="X25" s="224">
        <f>X17*$V$25</f>
        <v>2250</v>
      </c>
      <c r="Y25" s="224">
        <f t="shared" ref="Y25:AH25" si="69">Y17*$V$25</f>
        <v>2250</v>
      </c>
      <c r="Z25" s="224">
        <f t="shared" si="69"/>
        <v>2250</v>
      </c>
      <c r="AA25" s="224">
        <f t="shared" si="69"/>
        <v>2250</v>
      </c>
      <c r="AB25" s="224">
        <f t="shared" si="69"/>
        <v>2250</v>
      </c>
      <c r="AC25" s="224">
        <f t="shared" si="69"/>
        <v>2250</v>
      </c>
      <c r="AD25" s="224">
        <f t="shared" si="69"/>
        <v>2250</v>
      </c>
      <c r="AE25" s="224">
        <f t="shared" si="69"/>
        <v>2250</v>
      </c>
      <c r="AF25" s="224">
        <f t="shared" si="69"/>
        <v>2250</v>
      </c>
      <c r="AG25" s="224">
        <f t="shared" si="69"/>
        <v>2250</v>
      </c>
      <c r="AH25" s="227">
        <f t="shared" si="69"/>
        <v>2250</v>
      </c>
      <c r="AI25" s="217"/>
    </row>
    <row r="26" spans="1:35" outlineLevel="1" x14ac:dyDescent="0.2">
      <c r="B26" s="184" t="s">
        <v>216</v>
      </c>
      <c r="C26" s="39"/>
      <c r="D26" s="207"/>
      <c r="E26" s="215"/>
      <c r="F26" s="218"/>
      <c r="G26" s="231">
        <f>G18*$E$25</f>
        <v>4500</v>
      </c>
      <c r="H26" s="231">
        <f t="shared" ref="H26:Q26" si="70">H18*$E$25</f>
        <v>6750</v>
      </c>
      <c r="I26" s="231">
        <f t="shared" si="70"/>
        <v>9000</v>
      </c>
      <c r="J26" s="231">
        <f t="shared" si="70"/>
        <v>11250</v>
      </c>
      <c r="K26" s="231">
        <f t="shared" si="70"/>
        <v>13500</v>
      </c>
      <c r="L26" s="231">
        <f t="shared" si="70"/>
        <v>15750</v>
      </c>
      <c r="M26" s="231">
        <f t="shared" si="70"/>
        <v>18000</v>
      </c>
      <c r="N26" s="231">
        <f t="shared" si="70"/>
        <v>20250</v>
      </c>
      <c r="O26" s="231">
        <f t="shared" si="70"/>
        <v>22500</v>
      </c>
      <c r="P26" s="231">
        <f t="shared" si="70"/>
        <v>24750</v>
      </c>
      <c r="Q26" s="232">
        <f t="shared" si="70"/>
        <v>27000</v>
      </c>
      <c r="R26" s="232">
        <f>SUM(G26:Q26)+F25</f>
        <v>175500</v>
      </c>
      <c r="T26" s="49"/>
      <c r="U26" s="207"/>
      <c r="V26" s="215"/>
      <c r="W26" s="231">
        <f>W18*$V$25</f>
        <v>29250</v>
      </c>
      <c r="X26" s="231">
        <f>X18*$V$25</f>
        <v>31500</v>
      </c>
      <c r="Y26" s="231">
        <f t="shared" ref="Y26:AH26" si="71">Y18*$V$25</f>
        <v>33750</v>
      </c>
      <c r="Z26" s="231">
        <f t="shared" si="71"/>
        <v>36000</v>
      </c>
      <c r="AA26" s="231">
        <f t="shared" si="71"/>
        <v>38250</v>
      </c>
      <c r="AB26" s="231">
        <f t="shared" si="71"/>
        <v>40500</v>
      </c>
      <c r="AC26" s="231">
        <f t="shared" si="71"/>
        <v>42750</v>
      </c>
      <c r="AD26" s="231">
        <f t="shared" si="71"/>
        <v>45000</v>
      </c>
      <c r="AE26" s="231">
        <f t="shared" si="71"/>
        <v>47250</v>
      </c>
      <c r="AF26" s="231">
        <f t="shared" si="71"/>
        <v>49500</v>
      </c>
      <c r="AG26" s="231">
        <f t="shared" si="71"/>
        <v>51750</v>
      </c>
      <c r="AH26" s="232">
        <f t="shared" si="71"/>
        <v>54000</v>
      </c>
      <c r="AI26" s="232">
        <f>SUM(W26:AH26)</f>
        <v>499500</v>
      </c>
    </row>
    <row r="27" spans="1:35" outlineLevel="1" x14ac:dyDescent="0.2">
      <c r="B27" s="183" t="s">
        <v>219</v>
      </c>
      <c r="C27" s="39"/>
      <c r="D27" s="208"/>
      <c r="E27" s="219">
        <v>300</v>
      </c>
      <c r="F27" s="220">
        <f>F19*$E$27</f>
        <v>750</v>
      </c>
      <c r="G27" s="225">
        <f t="shared" ref="G27:Q27" si="72">G19*$E$27</f>
        <v>750</v>
      </c>
      <c r="H27" s="225">
        <f t="shared" si="72"/>
        <v>750</v>
      </c>
      <c r="I27" s="225">
        <f t="shared" si="72"/>
        <v>750</v>
      </c>
      <c r="J27" s="225">
        <f t="shared" si="72"/>
        <v>750</v>
      </c>
      <c r="K27" s="225">
        <f t="shared" si="72"/>
        <v>750</v>
      </c>
      <c r="L27" s="225">
        <f t="shared" si="72"/>
        <v>750</v>
      </c>
      <c r="M27" s="225">
        <f t="shared" si="72"/>
        <v>750</v>
      </c>
      <c r="N27" s="225">
        <f t="shared" si="72"/>
        <v>750</v>
      </c>
      <c r="O27" s="225">
        <f t="shared" si="72"/>
        <v>750</v>
      </c>
      <c r="P27" s="225">
        <f t="shared" si="72"/>
        <v>750</v>
      </c>
      <c r="Q27" s="228">
        <f t="shared" si="72"/>
        <v>750</v>
      </c>
      <c r="R27" s="221"/>
      <c r="T27" s="49"/>
      <c r="U27" s="208"/>
      <c r="V27" s="219">
        <v>300</v>
      </c>
      <c r="W27" s="220">
        <f>W19*$V$27</f>
        <v>1275</v>
      </c>
      <c r="X27" s="225">
        <f>X19*$V$27</f>
        <v>1275</v>
      </c>
      <c r="Y27" s="225">
        <f t="shared" ref="Y27:AH27" si="73">Y19*$V$27</f>
        <v>1275</v>
      </c>
      <c r="Z27" s="225">
        <f t="shared" si="73"/>
        <v>1275</v>
      </c>
      <c r="AA27" s="225">
        <f t="shared" si="73"/>
        <v>1275</v>
      </c>
      <c r="AB27" s="225">
        <f t="shared" si="73"/>
        <v>1275</v>
      </c>
      <c r="AC27" s="225">
        <f t="shared" si="73"/>
        <v>1275</v>
      </c>
      <c r="AD27" s="225">
        <f t="shared" si="73"/>
        <v>1275</v>
      </c>
      <c r="AE27" s="225">
        <f t="shared" si="73"/>
        <v>1275</v>
      </c>
      <c r="AF27" s="225">
        <f t="shared" si="73"/>
        <v>1275</v>
      </c>
      <c r="AG27" s="225">
        <f t="shared" si="73"/>
        <v>1275</v>
      </c>
      <c r="AH27" s="228">
        <f t="shared" si="73"/>
        <v>1275</v>
      </c>
      <c r="AI27" s="221"/>
    </row>
    <row r="28" spans="1:35" outlineLevel="1" x14ac:dyDescent="0.2">
      <c r="B28" s="184" t="s">
        <v>216</v>
      </c>
      <c r="C28" s="39"/>
      <c r="D28" s="208"/>
      <c r="E28" s="219"/>
      <c r="F28" s="222"/>
      <c r="G28" s="233">
        <f>G20*$E$27</f>
        <v>1500</v>
      </c>
      <c r="H28" s="233">
        <f t="shared" ref="H28:Q28" si="74">H20*$E$27</f>
        <v>2250</v>
      </c>
      <c r="I28" s="233">
        <f t="shared" si="74"/>
        <v>3000</v>
      </c>
      <c r="J28" s="233">
        <f t="shared" si="74"/>
        <v>3750</v>
      </c>
      <c r="K28" s="233">
        <f t="shared" si="74"/>
        <v>4500</v>
      </c>
      <c r="L28" s="233">
        <f t="shared" si="74"/>
        <v>5250</v>
      </c>
      <c r="M28" s="233">
        <f t="shared" si="74"/>
        <v>6000</v>
      </c>
      <c r="N28" s="233">
        <f t="shared" si="74"/>
        <v>6750</v>
      </c>
      <c r="O28" s="233">
        <f t="shared" si="74"/>
        <v>7500</v>
      </c>
      <c r="P28" s="233">
        <f t="shared" si="74"/>
        <v>8250</v>
      </c>
      <c r="Q28" s="234">
        <f t="shared" si="74"/>
        <v>9000</v>
      </c>
      <c r="R28" s="234">
        <f>SUM(G28:Q28)+F27</f>
        <v>58500</v>
      </c>
      <c r="T28" s="49"/>
      <c r="U28" s="208"/>
      <c r="V28" s="219"/>
      <c r="W28" s="233">
        <f>W20*$V$27</f>
        <v>16575.000000000004</v>
      </c>
      <c r="X28" s="233">
        <f>X20*$V$27</f>
        <v>17850.000000000004</v>
      </c>
      <c r="Y28" s="233">
        <f t="shared" ref="Y28:AH28" si="75">Y20*$V$27</f>
        <v>19125.000000000004</v>
      </c>
      <c r="Z28" s="233">
        <f t="shared" si="75"/>
        <v>20400</v>
      </c>
      <c r="AA28" s="233">
        <f t="shared" si="75"/>
        <v>21675</v>
      </c>
      <c r="AB28" s="233">
        <f t="shared" si="75"/>
        <v>22950</v>
      </c>
      <c r="AC28" s="233">
        <f t="shared" si="75"/>
        <v>24225</v>
      </c>
      <c r="AD28" s="233">
        <f t="shared" si="75"/>
        <v>25500</v>
      </c>
      <c r="AE28" s="233">
        <f t="shared" si="75"/>
        <v>26775</v>
      </c>
      <c r="AF28" s="233">
        <f t="shared" si="75"/>
        <v>28050</v>
      </c>
      <c r="AG28" s="233">
        <f t="shared" si="75"/>
        <v>29325</v>
      </c>
      <c r="AH28" s="234">
        <f t="shared" si="75"/>
        <v>30600.000000000004</v>
      </c>
      <c r="AI28" s="234">
        <f>SUM(W28:AH28)</f>
        <v>283050</v>
      </c>
    </row>
    <row r="29" spans="1:35" s="39" customFormat="1" outlineLevel="1" x14ac:dyDescent="0.2">
      <c r="B29" s="237"/>
      <c r="D29" s="77"/>
      <c r="E29" s="7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T29" s="49"/>
      <c r="U29" s="77"/>
      <c r="V29" s="7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</row>
    <row r="30" spans="1:35" s="39" customFormat="1" outlineLevel="1" x14ac:dyDescent="0.2">
      <c r="B30" s="237"/>
      <c r="D30" s="80"/>
      <c r="E30" s="235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T30" s="49"/>
      <c r="U30" s="80"/>
      <c r="V30" s="235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</row>
    <row r="31" spans="1:35" s="186" customFormat="1" x14ac:dyDescent="0.2">
      <c r="B31" s="83" t="s">
        <v>210</v>
      </c>
      <c r="C31" s="41"/>
      <c r="D31" s="41"/>
      <c r="E31" s="41"/>
      <c r="F31" s="273">
        <f>F15+F17+F19</f>
        <v>25</v>
      </c>
      <c r="G31" s="273">
        <f>G16+G18+G20</f>
        <v>50</v>
      </c>
      <c r="H31" s="273">
        <f t="shared" ref="H31:Q31" si="76">H16+H18+H20</f>
        <v>75</v>
      </c>
      <c r="I31" s="273">
        <f t="shared" si="76"/>
        <v>100</v>
      </c>
      <c r="J31" s="273">
        <f t="shared" si="76"/>
        <v>125</v>
      </c>
      <c r="K31" s="273">
        <f t="shared" si="76"/>
        <v>150</v>
      </c>
      <c r="L31" s="273">
        <f t="shared" si="76"/>
        <v>175</v>
      </c>
      <c r="M31" s="273">
        <f t="shared" si="76"/>
        <v>200</v>
      </c>
      <c r="N31" s="273">
        <f t="shared" si="76"/>
        <v>225</v>
      </c>
      <c r="O31" s="273">
        <f t="shared" si="76"/>
        <v>250</v>
      </c>
      <c r="P31" s="273">
        <f t="shared" si="76"/>
        <v>275</v>
      </c>
      <c r="Q31" s="273">
        <f t="shared" si="76"/>
        <v>300</v>
      </c>
      <c r="R31" s="273">
        <f>Q31</f>
        <v>300</v>
      </c>
      <c r="T31" s="269"/>
      <c r="U31" s="41"/>
      <c r="V31" s="41"/>
      <c r="W31" s="273">
        <f>W16+W18+W20</f>
        <v>315.25</v>
      </c>
      <c r="X31" s="273">
        <f t="shared" ref="X31:AH31" si="77">X16+X18+X20</f>
        <v>339.5</v>
      </c>
      <c r="Y31" s="273">
        <f t="shared" si="77"/>
        <v>363.75</v>
      </c>
      <c r="Z31" s="273">
        <f>Z16+Z18+Z20</f>
        <v>388</v>
      </c>
      <c r="AA31" s="273">
        <f t="shared" si="77"/>
        <v>412.25</v>
      </c>
      <c r="AB31" s="273">
        <f t="shared" si="77"/>
        <v>436.5</v>
      </c>
      <c r="AC31" s="273">
        <f t="shared" si="77"/>
        <v>460.75</v>
      </c>
      <c r="AD31" s="273">
        <f t="shared" si="77"/>
        <v>485</v>
      </c>
      <c r="AE31" s="273">
        <f>AE16+AE18+AE20</f>
        <v>509.25</v>
      </c>
      <c r="AF31" s="273">
        <f t="shared" si="77"/>
        <v>533.5</v>
      </c>
      <c r="AG31" s="273">
        <f t="shared" si="77"/>
        <v>557.75</v>
      </c>
      <c r="AH31" s="273">
        <f t="shared" si="77"/>
        <v>582</v>
      </c>
      <c r="AI31" s="273">
        <f>AH31</f>
        <v>582</v>
      </c>
    </row>
    <row r="32" spans="1:35" s="186" customFormat="1" x14ac:dyDescent="0.2">
      <c r="B32" s="83" t="s">
        <v>244</v>
      </c>
      <c r="C32" s="41"/>
      <c r="D32" s="41"/>
      <c r="E32" s="41"/>
      <c r="F32" s="274">
        <f>F23+F25+F27+F12</f>
        <v>3800</v>
      </c>
      <c r="G32" s="274">
        <f t="shared" ref="G32:Q32" si="78">G24+G26+G28+G12</f>
        <v>7600</v>
      </c>
      <c r="H32" s="274">
        <f t="shared" si="78"/>
        <v>11400</v>
      </c>
      <c r="I32" s="274">
        <f t="shared" si="78"/>
        <v>15200</v>
      </c>
      <c r="J32" s="274">
        <f t="shared" si="78"/>
        <v>31500</v>
      </c>
      <c r="K32" s="274">
        <f t="shared" si="78"/>
        <v>35300</v>
      </c>
      <c r="L32" s="274">
        <f t="shared" si="78"/>
        <v>39100</v>
      </c>
      <c r="M32" s="274">
        <f t="shared" si="78"/>
        <v>42900</v>
      </c>
      <c r="N32" s="274">
        <f t="shared" si="78"/>
        <v>46700</v>
      </c>
      <c r="O32" s="274">
        <f t="shared" si="78"/>
        <v>50500</v>
      </c>
      <c r="P32" s="274">
        <f t="shared" si="78"/>
        <v>54300</v>
      </c>
      <c r="Q32" s="274">
        <f t="shared" si="78"/>
        <v>58100</v>
      </c>
      <c r="R32" s="274">
        <f>SUM(F32:Q32)</f>
        <v>396400</v>
      </c>
      <c r="T32" s="269"/>
      <c r="U32" s="41"/>
      <c r="V32" s="41"/>
      <c r="W32" s="274">
        <f>W24+W26+W28+W12</f>
        <v>66125</v>
      </c>
      <c r="X32" s="274">
        <f>X24+X26+X28+X12</f>
        <v>70250</v>
      </c>
      <c r="Y32" s="274">
        <f t="shared" ref="Y32:AH32" si="79">Y24+Y26+Y28+Y12</f>
        <v>74375</v>
      </c>
      <c r="Z32" s="274">
        <f t="shared" si="79"/>
        <v>78500</v>
      </c>
      <c r="AA32" s="274">
        <f t="shared" si="79"/>
        <v>82625</v>
      </c>
      <c r="AB32" s="274">
        <f t="shared" si="79"/>
        <v>86750</v>
      </c>
      <c r="AC32" s="274">
        <f t="shared" si="79"/>
        <v>90875</v>
      </c>
      <c r="AD32" s="274">
        <f t="shared" si="79"/>
        <v>95000</v>
      </c>
      <c r="AE32" s="274">
        <f t="shared" si="79"/>
        <v>99125</v>
      </c>
      <c r="AF32" s="274">
        <f t="shared" si="79"/>
        <v>103250</v>
      </c>
      <c r="AG32" s="274">
        <f t="shared" si="79"/>
        <v>107375</v>
      </c>
      <c r="AH32" s="274">
        <f t="shared" si="79"/>
        <v>111500</v>
      </c>
      <c r="AI32" s="274">
        <f>SUM(W32:AH32)</f>
        <v>1065750</v>
      </c>
    </row>
    <row r="33" spans="2:35" s="39" customFormat="1" x14ac:dyDescent="0.2">
      <c r="B33" s="270"/>
      <c r="T33" s="49"/>
    </row>
    <row r="34" spans="2:35" s="39" customFormat="1" x14ac:dyDescent="0.2">
      <c r="R34" s="271"/>
      <c r="T34" s="49"/>
      <c r="AI34" s="271"/>
    </row>
    <row r="35" spans="2:35" s="39" customFormat="1" x14ac:dyDescent="0.2">
      <c r="B35" s="272" t="s">
        <v>117</v>
      </c>
      <c r="T35" s="49"/>
    </row>
    <row r="36" spans="2:35" outlineLevel="1" x14ac:dyDescent="0.2">
      <c r="B36" s="87" t="s">
        <v>245</v>
      </c>
      <c r="C36" s="49" t="s">
        <v>115</v>
      </c>
      <c r="D36" s="88" t="s">
        <v>116</v>
      </c>
      <c r="E36" s="89"/>
      <c r="F36" s="282"/>
      <c r="G36" s="281"/>
      <c r="H36" s="281"/>
      <c r="I36" s="281"/>
      <c r="J36" s="281"/>
      <c r="K36" s="281">
        <v>1</v>
      </c>
      <c r="L36" s="281">
        <v>1</v>
      </c>
      <c r="M36" s="281">
        <v>1</v>
      </c>
      <c r="N36" s="281">
        <v>1</v>
      </c>
      <c r="O36" s="281">
        <v>1</v>
      </c>
      <c r="P36" s="281">
        <v>1</v>
      </c>
      <c r="Q36" s="283">
        <v>1</v>
      </c>
      <c r="R36" s="284">
        <f>Q36</f>
        <v>1</v>
      </c>
      <c r="T36" s="49" t="s">
        <v>115</v>
      </c>
      <c r="U36" s="88" t="s">
        <v>116</v>
      </c>
      <c r="V36" s="89"/>
      <c r="W36" s="281">
        <v>1</v>
      </c>
      <c r="X36" s="281">
        <v>1</v>
      </c>
      <c r="Y36" s="281">
        <v>1</v>
      </c>
      <c r="Z36" s="281">
        <v>1</v>
      </c>
      <c r="AA36" s="281">
        <v>1</v>
      </c>
      <c r="AB36" s="281">
        <v>1</v>
      </c>
      <c r="AC36" s="281">
        <v>1</v>
      </c>
      <c r="AD36" s="281">
        <v>1</v>
      </c>
      <c r="AE36" s="281">
        <v>1</v>
      </c>
      <c r="AF36" s="281">
        <v>1</v>
      </c>
      <c r="AG36" s="281">
        <v>1</v>
      </c>
      <c r="AH36" s="283">
        <v>1</v>
      </c>
      <c r="AI36" s="284">
        <f>AH36</f>
        <v>1</v>
      </c>
    </row>
    <row r="37" spans="2:35" outlineLevel="1" x14ac:dyDescent="0.2">
      <c r="B37" s="87" t="s">
        <v>246</v>
      </c>
      <c r="C37" s="49" t="s">
        <v>115</v>
      </c>
      <c r="D37" s="88" t="s">
        <v>116</v>
      </c>
      <c r="E37" s="89"/>
      <c r="F37" s="278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80"/>
      <c r="R37" s="277">
        <f t="shared" ref="R37" si="80">Q37</f>
        <v>0</v>
      </c>
      <c r="T37" s="49" t="s">
        <v>115</v>
      </c>
      <c r="U37" s="88" t="s">
        <v>116</v>
      </c>
      <c r="V37" s="89"/>
      <c r="W37" s="281">
        <v>1</v>
      </c>
      <c r="X37" s="281">
        <v>1</v>
      </c>
      <c r="Y37" s="281">
        <v>1</v>
      </c>
      <c r="Z37" s="281">
        <v>1</v>
      </c>
      <c r="AA37" s="281">
        <v>1</v>
      </c>
      <c r="AB37" s="281">
        <v>1</v>
      </c>
      <c r="AC37" s="281">
        <v>1</v>
      </c>
      <c r="AD37" s="281">
        <v>1</v>
      </c>
      <c r="AE37" s="281">
        <v>1</v>
      </c>
      <c r="AF37" s="281">
        <v>1</v>
      </c>
      <c r="AG37" s="281">
        <v>1</v>
      </c>
      <c r="AH37" s="283">
        <v>1</v>
      </c>
      <c r="AI37" s="277">
        <f t="shared" ref="AI37" si="81">AH37</f>
        <v>1</v>
      </c>
    </row>
    <row r="38" spans="2:35" x14ac:dyDescent="0.2">
      <c r="B38" s="90" t="s">
        <v>119</v>
      </c>
      <c r="C38" s="91"/>
      <c r="D38" s="92"/>
      <c r="E38" s="93"/>
      <c r="F38" s="278">
        <f t="shared" ref="F38:Q38" si="82">SUM(F36:F37)</f>
        <v>0</v>
      </c>
      <c r="G38" s="279">
        <f t="shared" si="82"/>
        <v>0</v>
      </c>
      <c r="H38" s="279">
        <f t="shared" si="82"/>
        <v>0</v>
      </c>
      <c r="I38" s="279">
        <f t="shared" si="82"/>
        <v>0</v>
      </c>
      <c r="J38" s="279">
        <f t="shared" si="82"/>
        <v>0</v>
      </c>
      <c r="K38" s="279">
        <f t="shared" si="82"/>
        <v>1</v>
      </c>
      <c r="L38" s="279">
        <f t="shared" si="82"/>
        <v>1</v>
      </c>
      <c r="M38" s="279">
        <f t="shared" si="82"/>
        <v>1</v>
      </c>
      <c r="N38" s="279">
        <f t="shared" si="82"/>
        <v>1</v>
      </c>
      <c r="O38" s="279">
        <f t="shared" si="82"/>
        <v>1</v>
      </c>
      <c r="P38" s="279">
        <f t="shared" si="82"/>
        <v>1</v>
      </c>
      <c r="Q38" s="280">
        <f t="shared" si="82"/>
        <v>1</v>
      </c>
      <c r="R38" s="63">
        <f>Q38</f>
        <v>1</v>
      </c>
      <c r="T38" s="91"/>
      <c r="U38" s="92"/>
      <c r="V38" s="93"/>
      <c r="W38" s="278">
        <f t="shared" ref="W38:AH38" si="83">SUM(W36:W37)</f>
        <v>2</v>
      </c>
      <c r="X38" s="279">
        <f t="shared" si="83"/>
        <v>2</v>
      </c>
      <c r="Y38" s="279">
        <f t="shared" si="83"/>
        <v>2</v>
      </c>
      <c r="Z38" s="279">
        <f t="shared" si="83"/>
        <v>2</v>
      </c>
      <c r="AA38" s="279">
        <f t="shared" si="83"/>
        <v>2</v>
      </c>
      <c r="AB38" s="279">
        <f t="shared" si="83"/>
        <v>2</v>
      </c>
      <c r="AC38" s="279">
        <f t="shared" si="83"/>
        <v>2</v>
      </c>
      <c r="AD38" s="279">
        <f t="shared" si="83"/>
        <v>2</v>
      </c>
      <c r="AE38" s="279">
        <f t="shared" si="83"/>
        <v>2</v>
      </c>
      <c r="AF38" s="279">
        <f t="shared" si="83"/>
        <v>2</v>
      </c>
      <c r="AG38" s="279">
        <f t="shared" si="83"/>
        <v>2</v>
      </c>
      <c r="AH38" s="280">
        <f t="shared" si="83"/>
        <v>2</v>
      </c>
      <c r="AI38" s="63">
        <f>AH38</f>
        <v>2</v>
      </c>
    </row>
    <row r="39" spans="2:35" x14ac:dyDescent="0.2">
      <c r="B39" s="86"/>
      <c r="C39" s="49"/>
      <c r="D39" s="98"/>
      <c r="E39" s="99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55"/>
      <c r="T39" s="49"/>
      <c r="U39" s="98"/>
      <c r="V39" s="99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2"/>
      <c r="AI39" s="55"/>
    </row>
    <row r="40" spans="2:35" x14ac:dyDescent="0.2">
      <c r="B40" s="48" t="s">
        <v>120</v>
      </c>
      <c r="C40" s="49"/>
      <c r="D40" s="98"/>
      <c r="E40" s="99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55"/>
      <c r="T40" s="49"/>
      <c r="U40" s="98"/>
      <c r="V40" s="99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2"/>
      <c r="AI40" s="55"/>
    </row>
    <row r="41" spans="2:35" x14ac:dyDescent="0.2">
      <c r="B41" s="86" t="s">
        <v>121</v>
      </c>
      <c r="C41" s="49"/>
      <c r="D41" s="98"/>
      <c r="E41" s="99"/>
      <c r="F41" s="100">
        <f>F32</f>
        <v>3800</v>
      </c>
      <c r="G41" s="100">
        <f t="shared" ref="G41:Q41" si="84">G32</f>
        <v>7600</v>
      </c>
      <c r="H41" s="100">
        <f t="shared" si="84"/>
        <v>11400</v>
      </c>
      <c r="I41" s="100">
        <f t="shared" si="84"/>
        <v>15200</v>
      </c>
      <c r="J41" s="100">
        <f t="shared" si="84"/>
        <v>31500</v>
      </c>
      <c r="K41" s="100">
        <f t="shared" si="84"/>
        <v>35300</v>
      </c>
      <c r="L41" s="100">
        <f t="shared" si="84"/>
        <v>39100</v>
      </c>
      <c r="M41" s="100">
        <f t="shared" si="84"/>
        <v>42900</v>
      </c>
      <c r="N41" s="100">
        <f t="shared" si="84"/>
        <v>46700</v>
      </c>
      <c r="O41" s="100">
        <f t="shared" si="84"/>
        <v>50500</v>
      </c>
      <c r="P41" s="100">
        <f t="shared" si="84"/>
        <v>54300</v>
      </c>
      <c r="Q41" s="100">
        <f t="shared" si="84"/>
        <v>58100</v>
      </c>
      <c r="R41" s="84">
        <f>SUM(F41:Q41)</f>
        <v>396400</v>
      </c>
      <c r="T41" s="49"/>
      <c r="U41" s="98"/>
      <c r="V41" s="99"/>
      <c r="W41" s="100">
        <f>W32</f>
        <v>66125</v>
      </c>
      <c r="X41" s="100">
        <f t="shared" ref="X41:AH41" si="85">X32</f>
        <v>70250</v>
      </c>
      <c r="Y41" s="100">
        <f t="shared" si="85"/>
        <v>74375</v>
      </c>
      <c r="Z41" s="100">
        <f t="shared" si="85"/>
        <v>78500</v>
      </c>
      <c r="AA41" s="100">
        <f t="shared" si="85"/>
        <v>82625</v>
      </c>
      <c r="AB41" s="100">
        <f t="shared" si="85"/>
        <v>86750</v>
      </c>
      <c r="AC41" s="100">
        <f t="shared" si="85"/>
        <v>90875</v>
      </c>
      <c r="AD41" s="100">
        <f t="shared" si="85"/>
        <v>95000</v>
      </c>
      <c r="AE41" s="100">
        <f t="shared" si="85"/>
        <v>99125</v>
      </c>
      <c r="AF41" s="100">
        <f t="shared" si="85"/>
        <v>103250</v>
      </c>
      <c r="AG41" s="100">
        <f t="shared" si="85"/>
        <v>107375</v>
      </c>
      <c r="AH41" s="100">
        <f t="shared" si="85"/>
        <v>111500</v>
      </c>
      <c r="AI41" s="84">
        <f>SUM(W41:AH41)</f>
        <v>1065750</v>
      </c>
    </row>
    <row r="42" spans="2:35" outlineLevel="1" x14ac:dyDescent="0.2">
      <c r="B42" s="101" t="s">
        <v>122</v>
      </c>
      <c r="C42" s="285"/>
      <c r="D42" s="39"/>
      <c r="E42" s="99"/>
      <c r="F42" s="81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105"/>
      <c r="T42" s="300"/>
      <c r="U42" s="39"/>
      <c r="V42" s="99"/>
      <c r="W42" s="81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4"/>
      <c r="AI42" s="105"/>
    </row>
    <row r="43" spans="2:35" outlineLevel="1" x14ac:dyDescent="0.2">
      <c r="B43" s="106" t="s">
        <v>154</v>
      </c>
      <c r="C43" s="49" t="s">
        <v>249</v>
      </c>
      <c r="D43" s="117">
        <v>25000</v>
      </c>
      <c r="E43" s="286"/>
      <c r="F43" s="81">
        <f>$D$43</f>
        <v>25000</v>
      </c>
      <c r="G43" s="81">
        <f t="shared" ref="G43:Q43" si="86">$D$43</f>
        <v>25000</v>
      </c>
      <c r="H43" s="81">
        <f t="shared" si="86"/>
        <v>25000</v>
      </c>
      <c r="I43" s="81">
        <f t="shared" si="86"/>
        <v>25000</v>
      </c>
      <c r="J43" s="81">
        <f t="shared" si="86"/>
        <v>25000</v>
      </c>
      <c r="K43" s="81">
        <f t="shared" si="86"/>
        <v>25000</v>
      </c>
      <c r="L43" s="81">
        <f t="shared" si="86"/>
        <v>25000</v>
      </c>
      <c r="M43" s="81">
        <f t="shared" si="86"/>
        <v>25000</v>
      </c>
      <c r="N43" s="81">
        <f t="shared" si="86"/>
        <v>25000</v>
      </c>
      <c r="O43" s="81">
        <f t="shared" si="86"/>
        <v>25000</v>
      </c>
      <c r="P43" s="81">
        <f t="shared" si="86"/>
        <v>25000</v>
      </c>
      <c r="Q43" s="81">
        <f t="shared" si="86"/>
        <v>25000</v>
      </c>
      <c r="R43" s="105">
        <f>SUM(F43:Q43)</f>
        <v>300000</v>
      </c>
      <c r="T43" s="49" t="s">
        <v>249</v>
      </c>
      <c r="U43" s="117">
        <v>25000</v>
      </c>
      <c r="V43" s="286"/>
      <c r="W43" s="81">
        <f>$D$43</f>
        <v>25000</v>
      </c>
      <c r="X43" s="81">
        <f t="shared" ref="X43:AH43" si="87">$D$43</f>
        <v>25000</v>
      </c>
      <c r="Y43" s="81">
        <f t="shared" si="87"/>
        <v>25000</v>
      </c>
      <c r="Z43" s="81">
        <f t="shared" si="87"/>
        <v>25000</v>
      </c>
      <c r="AA43" s="81">
        <f t="shared" si="87"/>
        <v>25000</v>
      </c>
      <c r="AB43" s="81">
        <f t="shared" si="87"/>
        <v>25000</v>
      </c>
      <c r="AC43" s="81">
        <f t="shared" si="87"/>
        <v>25000</v>
      </c>
      <c r="AD43" s="81">
        <f t="shared" si="87"/>
        <v>25000</v>
      </c>
      <c r="AE43" s="81">
        <f t="shared" si="87"/>
        <v>25000</v>
      </c>
      <c r="AF43" s="81">
        <f t="shared" si="87"/>
        <v>25000</v>
      </c>
      <c r="AG43" s="81">
        <f t="shared" si="87"/>
        <v>25000</v>
      </c>
      <c r="AH43" s="81">
        <f t="shared" si="87"/>
        <v>25000</v>
      </c>
      <c r="AI43" s="105"/>
    </row>
    <row r="44" spans="2:35" outlineLevel="1" x14ac:dyDescent="0.2">
      <c r="B44" s="106" t="s">
        <v>123</v>
      </c>
      <c r="C44" s="107">
        <v>0.23</v>
      </c>
      <c r="D44" s="60">
        <v>100</v>
      </c>
      <c r="E44" s="108" t="s">
        <v>248</v>
      </c>
      <c r="F44" s="81">
        <f>$D$44*$C$44</f>
        <v>23</v>
      </c>
      <c r="G44" s="81">
        <f t="shared" ref="G44:Q44" si="88">$D$44*$C$44</f>
        <v>23</v>
      </c>
      <c r="H44" s="81">
        <f t="shared" si="88"/>
        <v>23</v>
      </c>
      <c r="I44" s="81">
        <f t="shared" si="88"/>
        <v>23</v>
      </c>
      <c r="J44" s="81">
        <f t="shared" si="88"/>
        <v>23</v>
      </c>
      <c r="K44" s="81">
        <f t="shared" si="88"/>
        <v>23</v>
      </c>
      <c r="L44" s="81">
        <f t="shared" si="88"/>
        <v>23</v>
      </c>
      <c r="M44" s="81">
        <f t="shared" si="88"/>
        <v>23</v>
      </c>
      <c r="N44" s="81">
        <f t="shared" si="88"/>
        <v>23</v>
      </c>
      <c r="O44" s="81">
        <f t="shared" si="88"/>
        <v>23</v>
      </c>
      <c r="P44" s="81">
        <f t="shared" si="88"/>
        <v>23</v>
      </c>
      <c r="Q44" s="81">
        <f t="shared" si="88"/>
        <v>23</v>
      </c>
      <c r="R44" s="105">
        <f>SUM(F44:Q44)</f>
        <v>276</v>
      </c>
      <c r="T44" s="107">
        <v>0.23</v>
      </c>
      <c r="U44" s="60">
        <v>100</v>
      </c>
      <c r="V44" s="108" t="s">
        <v>248</v>
      </c>
      <c r="W44" s="81">
        <f>$D$44*$C$44</f>
        <v>23</v>
      </c>
      <c r="X44" s="81">
        <f t="shared" ref="X44:AH44" si="89">$D$44*$C$44</f>
        <v>23</v>
      </c>
      <c r="Y44" s="81">
        <f t="shared" si="89"/>
        <v>23</v>
      </c>
      <c r="Z44" s="81">
        <f t="shared" si="89"/>
        <v>23</v>
      </c>
      <c r="AA44" s="81">
        <f t="shared" si="89"/>
        <v>23</v>
      </c>
      <c r="AB44" s="81">
        <f t="shared" si="89"/>
        <v>23</v>
      </c>
      <c r="AC44" s="81">
        <f t="shared" si="89"/>
        <v>23</v>
      </c>
      <c r="AD44" s="81">
        <f t="shared" si="89"/>
        <v>23</v>
      </c>
      <c r="AE44" s="81">
        <f t="shared" si="89"/>
        <v>23</v>
      </c>
      <c r="AF44" s="81">
        <f t="shared" si="89"/>
        <v>23</v>
      </c>
      <c r="AG44" s="81">
        <f t="shared" si="89"/>
        <v>23</v>
      </c>
      <c r="AH44" s="81">
        <f t="shared" si="89"/>
        <v>23</v>
      </c>
      <c r="AI44" s="105">
        <f>SUM(W44:AH44)</f>
        <v>276</v>
      </c>
    </row>
    <row r="45" spans="2:35" ht="15" outlineLevel="1" x14ac:dyDescent="0.2">
      <c r="B45" s="109" t="s">
        <v>124</v>
      </c>
      <c r="C45" s="289">
        <v>4</v>
      </c>
      <c r="D45" s="290">
        <v>24</v>
      </c>
      <c r="E45" s="108" t="s">
        <v>125</v>
      </c>
      <c r="F45" s="81">
        <f>((($C$45*$D$45)*365)/12)</f>
        <v>2920</v>
      </c>
      <c r="G45" s="81">
        <f t="shared" ref="G45:Q45" si="90">((($C$45*$D$45)*365)/12)</f>
        <v>2920</v>
      </c>
      <c r="H45" s="81">
        <f t="shared" si="90"/>
        <v>2920</v>
      </c>
      <c r="I45" s="81">
        <f t="shared" si="90"/>
        <v>2920</v>
      </c>
      <c r="J45" s="81">
        <f t="shared" si="90"/>
        <v>2920</v>
      </c>
      <c r="K45" s="81">
        <f t="shared" si="90"/>
        <v>2920</v>
      </c>
      <c r="L45" s="81">
        <f t="shared" si="90"/>
        <v>2920</v>
      </c>
      <c r="M45" s="81">
        <f t="shared" si="90"/>
        <v>2920</v>
      </c>
      <c r="N45" s="81">
        <f t="shared" si="90"/>
        <v>2920</v>
      </c>
      <c r="O45" s="81">
        <f t="shared" si="90"/>
        <v>2920</v>
      </c>
      <c r="P45" s="81">
        <f t="shared" si="90"/>
        <v>2920</v>
      </c>
      <c r="Q45" s="81">
        <f t="shared" si="90"/>
        <v>2920</v>
      </c>
      <c r="R45" s="105">
        <f>SUM(F45:Q45)</f>
        <v>35040</v>
      </c>
      <c r="T45" s="289">
        <v>4</v>
      </c>
      <c r="U45" s="290">
        <v>24</v>
      </c>
      <c r="V45" s="108" t="s">
        <v>125</v>
      </c>
      <c r="W45" s="81">
        <f>((($C$45*$D$45)*365)/12)</f>
        <v>2920</v>
      </c>
      <c r="X45" s="81">
        <f t="shared" ref="X45:AH45" si="91">((($C$45*$D$45)*365)/12)</f>
        <v>2920</v>
      </c>
      <c r="Y45" s="81">
        <f t="shared" si="91"/>
        <v>2920</v>
      </c>
      <c r="Z45" s="81">
        <f t="shared" si="91"/>
        <v>2920</v>
      </c>
      <c r="AA45" s="81">
        <f t="shared" si="91"/>
        <v>2920</v>
      </c>
      <c r="AB45" s="81">
        <f t="shared" si="91"/>
        <v>2920</v>
      </c>
      <c r="AC45" s="81">
        <f t="shared" si="91"/>
        <v>2920</v>
      </c>
      <c r="AD45" s="81">
        <f t="shared" si="91"/>
        <v>2920</v>
      </c>
      <c r="AE45" s="81">
        <f t="shared" si="91"/>
        <v>2920</v>
      </c>
      <c r="AF45" s="81">
        <f t="shared" si="91"/>
        <v>2920</v>
      </c>
      <c r="AG45" s="81">
        <f t="shared" si="91"/>
        <v>2920</v>
      </c>
      <c r="AH45" s="81">
        <f t="shared" si="91"/>
        <v>2920</v>
      </c>
      <c r="AI45" s="105">
        <f>SUM(W45:AH45)</f>
        <v>35040</v>
      </c>
    </row>
    <row r="46" spans="2:35" ht="15" outlineLevel="1" x14ac:dyDescent="0.2">
      <c r="B46" s="109" t="s">
        <v>250</v>
      </c>
      <c r="C46" s="289">
        <v>705000</v>
      </c>
      <c r="D46" s="60">
        <v>4</v>
      </c>
      <c r="E46" s="286" t="s">
        <v>251</v>
      </c>
      <c r="F46" s="81">
        <f>$C$46/$D$46</f>
        <v>176250</v>
      </c>
      <c r="G46" s="81">
        <f t="shared" ref="G46:I46" si="92">$C$46/$D$46</f>
        <v>176250</v>
      </c>
      <c r="H46" s="81">
        <f t="shared" si="92"/>
        <v>176250</v>
      </c>
      <c r="I46" s="81">
        <f t="shared" si="92"/>
        <v>176250</v>
      </c>
      <c r="J46" s="81"/>
      <c r="K46" s="81"/>
      <c r="L46" s="81"/>
      <c r="M46" s="81"/>
      <c r="N46" s="81"/>
      <c r="O46" s="81"/>
      <c r="P46" s="81"/>
      <c r="Q46" s="81"/>
      <c r="R46" s="105">
        <f>SUM(F46:Q46)</f>
        <v>705000</v>
      </c>
      <c r="T46" s="289">
        <v>0</v>
      </c>
      <c r="U46" s="60">
        <v>4</v>
      </c>
      <c r="V46" s="286" t="s">
        <v>251</v>
      </c>
      <c r="W46" s="81">
        <f>$T$46*$U$46</f>
        <v>0</v>
      </c>
      <c r="X46" s="81">
        <f t="shared" ref="X46:Z46" si="93">$T$46*$U$46</f>
        <v>0</v>
      </c>
      <c r="Y46" s="81">
        <f t="shared" si="93"/>
        <v>0</v>
      </c>
      <c r="Z46" s="81">
        <f t="shared" si="93"/>
        <v>0</v>
      </c>
      <c r="AA46" s="81"/>
      <c r="AB46" s="81"/>
      <c r="AC46" s="81"/>
      <c r="AD46" s="81"/>
      <c r="AE46" s="81"/>
      <c r="AF46" s="81"/>
      <c r="AG46" s="81"/>
      <c r="AH46" s="81"/>
      <c r="AI46" s="105"/>
    </row>
    <row r="47" spans="2:35" outlineLevel="1" x14ac:dyDescent="0.2">
      <c r="B47" s="109"/>
      <c r="C47" s="287"/>
      <c r="D47" s="288"/>
      <c r="E47" s="286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105"/>
      <c r="T47" s="301"/>
      <c r="U47" s="288"/>
      <c r="V47" s="286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105"/>
    </row>
    <row r="48" spans="2:35" x14ac:dyDescent="0.2">
      <c r="B48" s="86" t="s">
        <v>126</v>
      </c>
      <c r="C48" s="49"/>
      <c r="D48" s="98"/>
      <c r="E48" s="39"/>
      <c r="F48" s="110">
        <f t="shared" ref="F48:Q48" si="94">F41-SUM(F43:F47)</f>
        <v>-200393</v>
      </c>
      <c r="G48" s="110">
        <f t="shared" si="94"/>
        <v>-196593</v>
      </c>
      <c r="H48" s="110">
        <f t="shared" si="94"/>
        <v>-192793</v>
      </c>
      <c r="I48" s="110">
        <f t="shared" si="94"/>
        <v>-188993</v>
      </c>
      <c r="J48" s="110">
        <f t="shared" si="94"/>
        <v>3557</v>
      </c>
      <c r="K48" s="110">
        <f t="shared" si="94"/>
        <v>7357</v>
      </c>
      <c r="L48" s="110">
        <f t="shared" si="94"/>
        <v>11157</v>
      </c>
      <c r="M48" s="110">
        <f t="shared" si="94"/>
        <v>14957</v>
      </c>
      <c r="N48" s="110">
        <f t="shared" si="94"/>
        <v>18757</v>
      </c>
      <c r="O48" s="110">
        <f t="shared" si="94"/>
        <v>22557</v>
      </c>
      <c r="P48" s="110">
        <f t="shared" si="94"/>
        <v>26357</v>
      </c>
      <c r="Q48" s="110">
        <f t="shared" si="94"/>
        <v>30157</v>
      </c>
      <c r="R48" s="110">
        <f>SUM(F48:Q48)</f>
        <v>-643916</v>
      </c>
      <c r="T48" s="49"/>
      <c r="U48" s="98"/>
      <c r="V48" s="39"/>
      <c r="W48" s="110">
        <f t="shared" ref="W48:AH48" si="95">W41-SUM(W43:W47)</f>
        <v>38182</v>
      </c>
      <c r="X48" s="110">
        <f t="shared" si="95"/>
        <v>42307</v>
      </c>
      <c r="Y48" s="110">
        <f t="shared" si="95"/>
        <v>46432</v>
      </c>
      <c r="Z48" s="110">
        <f t="shared" si="95"/>
        <v>50557</v>
      </c>
      <c r="AA48" s="110">
        <f t="shared" si="95"/>
        <v>54682</v>
      </c>
      <c r="AB48" s="110">
        <f t="shared" si="95"/>
        <v>58807</v>
      </c>
      <c r="AC48" s="110">
        <f t="shared" si="95"/>
        <v>62932</v>
      </c>
      <c r="AD48" s="110">
        <f t="shared" si="95"/>
        <v>67057</v>
      </c>
      <c r="AE48" s="110">
        <f t="shared" si="95"/>
        <v>71182</v>
      </c>
      <c r="AF48" s="110">
        <f t="shared" si="95"/>
        <v>75307</v>
      </c>
      <c r="AG48" s="110">
        <f t="shared" si="95"/>
        <v>79432</v>
      </c>
      <c r="AH48" s="110">
        <f t="shared" si="95"/>
        <v>83557</v>
      </c>
      <c r="AI48" s="110">
        <f>SUM(W48:AH48)</f>
        <v>730434</v>
      </c>
    </row>
    <row r="49" spans="2:35" x14ac:dyDescent="0.2">
      <c r="B49" s="102" t="s">
        <v>127</v>
      </c>
      <c r="C49" s="49"/>
      <c r="D49" s="98"/>
      <c r="E49" s="99"/>
      <c r="F49" s="111">
        <f t="shared" ref="F49:R49" si="96">F48/F41</f>
        <v>-52.734999999999999</v>
      </c>
      <c r="G49" s="111">
        <f t="shared" si="96"/>
        <v>-25.8675</v>
      </c>
      <c r="H49" s="111">
        <f t="shared" si="96"/>
        <v>-16.911666666666665</v>
      </c>
      <c r="I49" s="111">
        <f t="shared" si="96"/>
        <v>-12.43375</v>
      </c>
      <c r="J49" s="111">
        <f t="shared" si="96"/>
        <v>0.11292063492063492</v>
      </c>
      <c r="K49" s="111">
        <f t="shared" si="96"/>
        <v>0.20841359773371104</v>
      </c>
      <c r="L49" s="111">
        <f t="shared" si="96"/>
        <v>0.28534526854219949</v>
      </c>
      <c r="M49" s="111">
        <f t="shared" si="96"/>
        <v>0.34864801864801864</v>
      </c>
      <c r="N49" s="111">
        <f t="shared" si="96"/>
        <v>0.4016488222698073</v>
      </c>
      <c r="O49" s="111">
        <f t="shared" si="96"/>
        <v>0.44667326732673268</v>
      </c>
      <c r="P49" s="111">
        <f t="shared" si="96"/>
        <v>0.48539594843462247</v>
      </c>
      <c r="Q49" s="112">
        <f t="shared" si="96"/>
        <v>0.51905335628227189</v>
      </c>
      <c r="R49" s="113">
        <f t="shared" si="96"/>
        <v>-1.6244096871846621</v>
      </c>
      <c r="T49" s="49"/>
      <c r="U49" s="98"/>
      <c r="V49" s="99"/>
      <c r="W49" s="111">
        <f t="shared" ref="W49:AI49" si="97">W48/W41</f>
        <v>0.57742155009451801</v>
      </c>
      <c r="X49" s="111">
        <f t="shared" si="97"/>
        <v>0.60223487544483989</v>
      </c>
      <c r="Y49" s="111">
        <f t="shared" si="97"/>
        <v>0.62429579831932769</v>
      </c>
      <c r="Z49" s="111">
        <f t="shared" si="97"/>
        <v>0.64403821656050952</v>
      </c>
      <c r="AA49" s="111">
        <f t="shared" si="97"/>
        <v>0.66180937972768528</v>
      </c>
      <c r="AB49" s="111">
        <f t="shared" si="97"/>
        <v>0.67789048991354461</v>
      </c>
      <c r="AC49" s="111">
        <f t="shared" si="97"/>
        <v>0.69251169188445671</v>
      </c>
      <c r="AD49" s="111">
        <f t="shared" si="97"/>
        <v>0.70586315789473686</v>
      </c>
      <c r="AE49" s="111">
        <f t="shared" si="97"/>
        <v>0.71810340479192936</v>
      </c>
      <c r="AF49" s="111">
        <f t="shared" si="97"/>
        <v>0.72936561743341399</v>
      </c>
      <c r="AG49" s="111">
        <f t="shared" si="97"/>
        <v>0.73976251455180442</v>
      </c>
      <c r="AH49" s="112">
        <f t="shared" si="97"/>
        <v>0.74939013452914793</v>
      </c>
      <c r="AI49" s="113">
        <f t="shared" si="97"/>
        <v>0.6853708655876144</v>
      </c>
    </row>
    <row r="50" spans="2:35" x14ac:dyDescent="0.2">
      <c r="B50" s="54" t="s">
        <v>128</v>
      </c>
      <c r="C50" s="49"/>
      <c r="D50" s="98"/>
      <c r="E50" s="99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5"/>
      <c r="R50" s="105"/>
      <c r="T50" s="49"/>
      <c r="U50" s="98"/>
      <c r="V50" s="99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5"/>
      <c r="AI50" s="105"/>
    </row>
    <row r="51" spans="2:35" outlineLevel="1" x14ac:dyDescent="0.2">
      <c r="B51" s="54" t="s">
        <v>129</v>
      </c>
      <c r="C51" s="49"/>
      <c r="D51" s="98"/>
      <c r="E51" s="99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5"/>
      <c r="R51" s="105"/>
      <c r="T51" s="49"/>
      <c r="U51" s="98"/>
      <c r="V51" s="99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5"/>
      <c r="AI51" s="105"/>
    </row>
    <row r="52" spans="2:35" outlineLevel="1" x14ac:dyDescent="0.2">
      <c r="B52" s="116" t="s">
        <v>130</v>
      </c>
      <c r="C52" s="49" t="s">
        <v>131</v>
      </c>
      <c r="D52" s="117">
        <v>0</v>
      </c>
      <c r="E52" s="118"/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f t="shared" ref="K52:Q52" si="98">$D$52</f>
        <v>0</v>
      </c>
      <c r="L52" s="103">
        <f t="shared" si="98"/>
        <v>0</v>
      </c>
      <c r="M52" s="103">
        <f t="shared" si="98"/>
        <v>0</v>
      </c>
      <c r="N52" s="103">
        <f t="shared" si="98"/>
        <v>0</v>
      </c>
      <c r="O52" s="103">
        <f t="shared" si="98"/>
        <v>0</v>
      </c>
      <c r="P52" s="103">
        <f t="shared" si="98"/>
        <v>0</v>
      </c>
      <c r="Q52" s="103">
        <f t="shared" si="98"/>
        <v>0</v>
      </c>
      <c r="R52" s="82">
        <f t="shared" ref="R52:R55" si="99">SUM(F52:Q52)</f>
        <v>0</v>
      </c>
      <c r="T52" s="49" t="s">
        <v>131</v>
      </c>
      <c r="U52" s="117">
        <v>0</v>
      </c>
      <c r="V52" s="118"/>
      <c r="W52" s="103">
        <f>$U$52</f>
        <v>0</v>
      </c>
      <c r="X52" s="103">
        <f t="shared" ref="X52:AH52" si="100">$U$52</f>
        <v>0</v>
      </c>
      <c r="Y52" s="103">
        <f t="shared" si="100"/>
        <v>0</v>
      </c>
      <c r="Z52" s="103">
        <f t="shared" si="100"/>
        <v>0</v>
      </c>
      <c r="AA52" s="103">
        <f t="shared" si="100"/>
        <v>0</v>
      </c>
      <c r="AB52" s="103">
        <f t="shared" si="100"/>
        <v>0</v>
      </c>
      <c r="AC52" s="103">
        <f t="shared" si="100"/>
        <v>0</v>
      </c>
      <c r="AD52" s="103">
        <f t="shared" si="100"/>
        <v>0</v>
      </c>
      <c r="AE52" s="103">
        <f t="shared" si="100"/>
        <v>0</v>
      </c>
      <c r="AF52" s="103">
        <f t="shared" si="100"/>
        <v>0</v>
      </c>
      <c r="AG52" s="103">
        <f t="shared" si="100"/>
        <v>0</v>
      </c>
      <c r="AH52" s="103">
        <f t="shared" si="100"/>
        <v>0</v>
      </c>
      <c r="AI52" s="82">
        <f t="shared" ref="AI52:AI55" si="101">SUM(W52:AH52)</f>
        <v>0</v>
      </c>
    </row>
    <row r="53" spans="2:35" outlineLevel="1" x14ac:dyDescent="0.2">
      <c r="B53" s="116" t="s">
        <v>132</v>
      </c>
      <c r="C53" s="49" t="s">
        <v>131</v>
      </c>
      <c r="D53" s="117">
        <v>500</v>
      </c>
      <c r="E53" s="118"/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f t="shared" ref="K53:Q53" si="102">$D$53</f>
        <v>500</v>
      </c>
      <c r="L53" s="103">
        <f t="shared" si="102"/>
        <v>500</v>
      </c>
      <c r="M53" s="103">
        <f t="shared" si="102"/>
        <v>500</v>
      </c>
      <c r="N53" s="103">
        <f t="shared" si="102"/>
        <v>500</v>
      </c>
      <c r="O53" s="103">
        <f t="shared" si="102"/>
        <v>500</v>
      </c>
      <c r="P53" s="103">
        <f t="shared" si="102"/>
        <v>500</v>
      </c>
      <c r="Q53" s="103">
        <f t="shared" si="102"/>
        <v>500</v>
      </c>
      <c r="R53" s="82">
        <f t="shared" si="99"/>
        <v>3500</v>
      </c>
      <c r="T53" s="49" t="s">
        <v>131</v>
      </c>
      <c r="U53" s="117">
        <v>500</v>
      </c>
      <c r="V53" s="118"/>
      <c r="W53" s="103">
        <f>$U$53</f>
        <v>500</v>
      </c>
      <c r="X53" s="103">
        <f t="shared" ref="X53:AH53" si="103">$U$53</f>
        <v>500</v>
      </c>
      <c r="Y53" s="103">
        <f t="shared" si="103"/>
        <v>500</v>
      </c>
      <c r="Z53" s="103">
        <f t="shared" si="103"/>
        <v>500</v>
      </c>
      <c r="AA53" s="103">
        <f t="shared" si="103"/>
        <v>500</v>
      </c>
      <c r="AB53" s="103">
        <f t="shared" si="103"/>
        <v>500</v>
      </c>
      <c r="AC53" s="103">
        <f t="shared" si="103"/>
        <v>500</v>
      </c>
      <c r="AD53" s="103">
        <f t="shared" si="103"/>
        <v>500</v>
      </c>
      <c r="AE53" s="103">
        <f t="shared" si="103"/>
        <v>500</v>
      </c>
      <c r="AF53" s="103">
        <f t="shared" si="103"/>
        <v>500</v>
      </c>
      <c r="AG53" s="103">
        <f t="shared" si="103"/>
        <v>500</v>
      </c>
      <c r="AH53" s="103">
        <f t="shared" si="103"/>
        <v>500</v>
      </c>
      <c r="AI53" s="82">
        <f t="shared" si="101"/>
        <v>6000</v>
      </c>
    </row>
    <row r="54" spans="2:35" outlineLevel="1" x14ac:dyDescent="0.2">
      <c r="B54" s="116" t="s">
        <v>133</v>
      </c>
      <c r="C54" s="49" t="s">
        <v>131</v>
      </c>
      <c r="D54" s="117">
        <v>0</v>
      </c>
      <c r="E54" s="118"/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f t="shared" ref="K54:Q54" si="104">$D$54</f>
        <v>0</v>
      </c>
      <c r="L54" s="103">
        <f t="shared" si="104"/>
        <v>0</v>
      </c>
      <c r="M54" s="103">
        <f t="shared" si="104"/>
        <v>0</v>
      </c>
      <c r="N54" s="103">
        <f t="shared" si="104"/>
        <v>0</v>
      </c>
      <c r="O54" s="103">
        <f t="shared" si="104"/>
        <v>0</v>
      </c>
      <c r="P54" s="103">
        <f t="shared" si="104"/>
        <v>0</v>
      </c>
      <c r="Q54" s="103">
        <f t="shared" si="104"/>
        <v>0</v>
      </c>
      <c r="R54" s="82">
        <f t="shared" si="99"/>
        <v>0</v>
      </c>
      <c r="T54" s="49" t="s">
        <v>131</v>
      </c>
      <c r="U54" s="117">
        <v>0</v>
      </c>
      <c r="V54" s="118"/>
      <c r="W54" s="103">
        <f>$U$54</f>
        <v>0</v>
      </c>
      <c r="X54" s="103">
        <f t="shared" ref="X54:AH54" si="105">$U$54</f>
        <v>0</v>
      </c>
      <c r="Y54" s="103">
        <f t="shared" si="105"/>
        <v>0</v>
      </c>
      <c r="Z54" s="103">
        <f t="shared" si="105"/>
        <v>0</v>
      </c>
      <c r="AA54" s="103">
        <f t="shared" si="105"/>
        <v>0</v>
      </c>
      <c r="AB54" s="103">
        <f t="shared" si="105"/>
        <v>0</v>
      </c>
      <c r="AC54" s="103">
        <f t="shared" si="105"/>
        <v>0</v>
      </c>
      <c r="AD54" s="103">
        <f t="shared" si="105"/>
        <v>0</v>
      </c>
      <c r="AE54" s="103">
        <f t="shared" si="105"/>
        <v>0</v>
      </c>
      <c r="AF54" s="103">
        <f t="shared" si="105"/>
        <v>0</v>
      </c>
      <c r="AG54" s="103">
        <f t="shared" si="105"/>
        <v>0</v>
      </c>
      <c r="AH54" s="103">
        <f t="shared" si="105"/>
        <v>0</v>
      </c>
      <c r="AI54" s="82">
        <f t="shared" si="101"/>
        <v>0</v>
      </c>
    </row>
    <row r="55" spans="2:35" outlineLevel="1" x14ac:dyDescent="0.2">
      <c r="B55" s="119" t="s">
        <v>134</v>
      </c>
      <c r="C55" s="49" t="s">
        <v>131</v>
      </c>
      <c r="D55" s="117">
        <v>500</v>
      </c>
      <c r="E55" s="118"/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f t="shared" ref="K55:Q55" si="106">$D$55</f>
        <v>500</v>
      </c>
      <c r="L55" s="103">
        <f t="shared" si="106"/>
        <v>500</v>
      </c>
      <c r="M55" s="103">
        <f t="shared" si="106"/>
        <v>500</v>
      </c>
      <c r="N55" s="103">
        <f t="shared" si="106"/>
        <v>500</v>
      </c>
      <c r="O55" s="103">
        <f t="shared" si="106"/>
        <v>500</v>
      </c>
      <c r="P55" s="103">
        <f t="shared" si="106"/>
        <v>500</v>
      </c>
      <c r="Q55" s="103">
        <f t="shared" si="106"/>
        <v>500</v>
      </c>
      <c r="R55" s="82">
        <f t="shared" si="99"/>
        <v>3500</v>
      </c>
      <c r="T55" s="49" t="s">
        <v>131</v>
      </c>
      <c r="U55" s="117">
        <v>500</v>
      </c>
      <c r="V55" s="118"/>
      <c r="W55" s="103">
        <f>$U$55</f>
        <v>500</v>
      </c>
      <c r="X55" s="103">
        <f t="shared" ref="X55:AH55" si="107">$U$55</f>
        <v>500</v>
      </c>
      <c r="Y55" s="103">
        <f t="shared" si="107"/>
        <v>500</v>
      </c>
      <c r="Z55" s="103">
        <f t="shared" si="107"/>
        <v>500</v>
      </c>
      <c r="AA55" s="103">
        <f t="shared" si="107"/>
        <v>500</v>
      </c>
      <c r="AB55" s="103">
        <f t="shared" si="107"/>
        <v>500</v>
      </c>
      <c r="AC55" s="103">
        <f t="shared" si="107"/>
        <v>500</v>
      </c>
      <c r="AD55" s="103">
        <f t="shared" si="107"/>
        <v>500</v>
      </c>
      <c r="AE55" s="103">
        <f t="shared" si="107"/>
        <v>500</v>
      </c>
      <c r="AF55" s="103">
        <f t="shared" si="107"/>
        <v>500</v>
      </c>
      <c r="AG55" s="103">
        <f t="shared" si="107"/>
        <v>500</v>
      </c>
      <c r="AH55" s="103">
        <f t="shared" si="107"/>
        <v>500</v>
      </c>
      <c r="AI55" s="82">
        <f t="shared" si="101"/>
        <v>6000</v>
      </c>
    </row>
    <row r="56" spans="2:35" outlineLevel="1" x14ac:dyDescent="0.2">
      <c r="B56" s="119" t="s">
        <v>254</v>
      </c>
      <c r="C56" s="49" t="s">
        <v>131</v>
      </c>
      <c r="D56" s="117">
        <v>1000</v>
      </c>
      <c r="E56" s="118"/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f t="shared" ref="K56:Q56" si="108">$D$56</f>
        <v>1000</v>
      </c>
      <c r="L56" s="103">
        <f t="shared" si="108"/>
        <v>1000</v>
      </c>
      <c r="M56" s="103">
        <f t="shared" si="108"/>
        <v>1000</v>
      </c>
      <c r="N56" s="103">
        <f t="shared" si="108"/>
        <v>1000</v>
      </c>
      <c r="O56" s="103">
        <f t="shared" si="108"/>
        <v>1000</v>
      </c>
      <c r="P56" s="103">
        <f t="shared" si="108"/>
        <v>1000</v>
      </c>
      <c r="Q56" s="103">
        <f t="shared" si="108"/>
        <v>1000</v>
      </c>
      <c r="R56" s="82"/>
      <c r="T56" s="49" t="s">
        <v>131</v>
      </c>
      <c r="U56" s="117">
        <v>1000</v>
      </c>
      <c r="V56" s="118"/>
      <c r="W56" s="103">
        <f>$U$56</f>
        <v>1000</v>
      </c>
      <c r="X56" s="103">
        <f t="shared" ref="X56:AH56" si="109">$U$56</f>
        <v>1000</v>
      </c>
      <c r="Y56" s="103">
        <f t="shared" si="109"/>
        <v>1000</v>
      </c>
      <c r="Z56" s="103">
        <f t="shared" si="109"/>
        <v>1000</v>
      </c>
      <c r="AA56" s="103">
        <f t="shared" si="109"/>
        <v>1000</v>
      </c>
      <c r="AB56" s="103">
        <f t="shared" si="109"/>
        <v>1000</v>
      </c>
      <c r="AC56" s="103">
        <f t="shared" si="109"/>
        <v>1000</v>
      </c>
      <c r="AD56" s="103">
        <f t="shared" si="109"/>
        <v>1000</v>
      </c>
      <c r="AE56" s="103">
        <f t="shared" si="109"/>
        <v>1000</v>
      </c>
      <c r="AF56" s="103">
        <f t="shared" si="109"/>
        <v>1000</v>
      </c>
      <c r="AG56" s="103">
        <f t="shared" si="109"/>
        <v>1000</v>
      </c>
      <c r="AH56" s="103">
        <f t="shared" si="109"/>
        <v>1000</v>
      </c>
      <c r="AI56" s="82"/>
    </row>
    <row r="57" spans="2:35" outlineLevel="1" x14ac:dyDescent="0.2">
      <c r="B57" s="86" t="s">
        <v>129</v>
      </c>
      <c r="C57" s="49"/>
      <c r="D57" s="39"/>
      <c r="E57" s="99"/>
      <c r="F57" s="292">
        <f>SUM(F52:F55)</f>
        <v>0</v>
      </c>
      <c r="G57" s="110">
        <f>SUM(G52:G55)</f>
        <v>0</v>
      </c>
      <c r="H57" s="110">
        <f>SUM(H52:H55)</f>
        <v>0</v>
      </c>
      <c r="I57" s="110">
        <f>SUM(I52:I55)</f>
        <v>0</v>
      </c>
      <c r="J57" s="110">
        <f>SUM(J52:J55)</f>
        <v>0</v>
      </c>
      <c r="K57" s="110">
        <f>SUM(K52:K56)</f>
        <v>2000</v>
      </c>
      <c r="L57" s="110">
        <f t="shared" ref="L57:Q57" si="110">SUM(L52:L56)</f>
        <v>2000</v>
      </c>
      <c r="M57" s="110">
        <f t="shared" si="110"/>
        <v>2000</v>
      </c>
      <c r="N57" s="110">
        <f t="shared" si="110"/>
        <v>2000</v>
      </c>
      <c r="O57" s="110">
        <f t="shared" si="110"/>
        <v>2000</v>
      </c>
      <c r="P57" s="110">
        <f t="shared" si="110"/>
        <v>2000</v>
      </c>
      <c r="Q57" s="110">
        <f t="shared" si="110"/>
        <v>2000</v>
      </c>
      <c r="R57" s="110">
        <f>SUM(F57:Q57)</f>
        <v>14000</v>
      </c>
      <c r="T57" s="49"/>
      <c r="U57" s="39"/>
      <c r="V57" s="99"/>
      <c r="W57" s="292">
        <f>SUM(W52:W56)</f>
        <v>2000</v>
      </c>
      <c r="X57" s="292">
        <f t="shared" ref="X57:AH57" si="111">SUM(X52:X56)</f>
        <v>2000</v>
      </c>
      <c r="Y57" s="292">
        <f t="shared" si="111"/>
        <v>2000</v>
      </c>
      <c r="Z57" s="292">
        <f t="shared" si="111"/>
        <v>2000</v>
      </c>
      <c r="AA57" s="292">
        <f t="shared" si="111"/>
        <v>2000</v>
      </c>
      <c r="AB57" s="292">
        <f t="shared" si="111"/>
        <v>2000</v>
      </c>
      <c r="AC57" s="292">
        <f t="shared" si="111"/>
        <v>2000</v>
      </c>
      <c r="AD57" s="292">
        <f t="shared" si="111"/>
        <v>2000</v>
      </c>
      <c r="AE57" s="292">
        <f t="shared" si="111"/>
        <v>2000</v>
      </c>
      <c r="AF57" s="292">
        <f t="shared" si="111"/>
        <v>2000</v>
      </c>
      <c r="AG57" s="292">
        <f t="shared" si="111"/>
        <v>2000</v>
      </c>
      <c r="AH57" s="292">
        <f t="shared" si="111"/>
        <v>2000</v>
      </c>
      <c r="AI57" s="110">
        <f>SUM(W57:AH57)</f>
        <v>24000</v>
      </c>
    </row>
    <row r="58" spans="2:35" outlineLevel="1" x14ac:dyDescent="0.2">
      <c r="B58" s="54" t="s">
        <v>135</v>
      </c>
      <c r="C58" s="49"/>
      <c r="D58" s="39"/>
      <c r="E58" s="99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5"/>
      <c r="R58" s="105"/>
      <c r="T58" s="49"/>
      <c r="U58" s="39"/>
      <c r="V58" s="99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5"/>
      <c r="AI58" s="105"/>
    </row>
    <row r="59" spans="2:35" outlineLevel="1" x14ac:dyDescent="0.2">
      <c r="B59" s="87" t="s">
        <v>245</v>
      </c>
      <c r="C59" s="49" t="s">
        <v>136</v>
      </c>
      <c r="D59" s="120">
        <f>E59/12</f>
        <v>6666.666666666667</v>
      </c>
      <c r="E59" s="121">
        <v>80000</v>
      </c>
      <c r="F59" s="103">
        <f>$D59*F36</f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f t="shared" ref="K59:Q59" si="112">$D$59*K36</f>
        <v>6666.666666666667</v>
      </c>
      <c r="L59" s="103">
        <f t="shared" si="112"/>
        <v>6666.666666666667</v>
      </c>
      <c r="M59" s="103">
        <f t="shared" si="112"/>
        <v>6666.666666666667</v>
      </c>
      <c r="N59" s="103">
        <f t="shared" si="112"/>
        <v>6666.666666666667</v>
      </c>
      <c r="O59" s="103">
        <f t="shared" si="112"/>
        <v>6666.666666666667</v>
      </c>
      <c r="P59" s="103">
        <f t="shared" si="112"/>
        <v>6666.666666666667</v>
      </c>
      <c r="Q59" s="103">
        <f t="shared" si="112"/>
        <v>6666.666666666667</v>
      </c>
      <c r="R59" s="82">
        <f t="shared" ref="R59:R60" si="113">SUM(F59:Q59)</f>
        <v>46666.666666666664</v>
      </c>
      <c r="T59" s="49" t="s">
        <v>136</v>
      </c>
      <c r="U59" s="120">
        <f>V59/12</f>
        <v>6666.666666666667</v>
      </c>
      <c r="V59" s="121">
        <v>80000</v>
      </c>
      <c r="W59" s="103">
        <f t="shared" ref="W59:AH59" si="114">$U$59*W36</f>
        <v>6666.666666666667</v>
      </c>
      <c r="X59" s="103">
        <f t="shared" si="114"/>
        <v>6666.666666666667</v>
      </c>
      <c r="Y59" s="103">
        <f t="shared" si="114"/>
        <v>6666.666666666667</v>
      </c>
      <c r="Z59" s="103">
        <f t="shared" si="114"/>
        <v>6666.666666666667</v>
      </c>
      <c r="AA59" s="103">
        <f t="shared" si="114"/>
        <v>6666.666666666667</v>
      </c>
      <c r="AB59" s="103">
        <f t="shared" si="114"/>
        <v>6666.666666666667</v>
      </c>
      <c r="AC59" s="103">
        <f t="shared" si="114"/>
        <v>6666.666666666667</v>
      </c>
      <c r="AD59" s="103">
        <f t="shared" si="114"/>
        <v>6666.666666666667</v>
      </c>
      <c r="AE59" s="103">
        <f t="shared" si="114"/>
        <v>6666.666666666667</v>
      </c>
      <c r="AF59" s="103">
        <f t="shared" si="114"/>
        <v>6666.666666666667</v>
      </c>
      <c r="AG59" s="103">
        <f t="shared" si="114"/>
        <v>6666.666666666667</v>
      </c>
      <c r="AH59" s="103">
        <f t="shared" si="114"/>
        <v>6666.666666666667</v>
      </c>
      <c r="AI59" s="82">
        <f t="shared" ref="AI59:AI60" si="115">SUM(W59:AH59)</f>
        <v>80000</v>
      </c>
    </row>
    <row r="60" spans="2:35" outlineLevel="1" x14ac:dyDescent="0.2">
      <c r="B60" s="87" t="s">
        <v>246</v>
      </c>
      <c r="C60" s="49" t="s">
        <v>136</v>
      </c>
      <c r="D60" s="120">
        <f>E60/12</f>
        <v>2500</v>
      </c>
      <c r="E60" s="121">
        <v>30000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82">
        <f t="shared" si="113"/>
        <v>0</v>
      </c>
      <c r="T60" s="49" t="s">
        <v>136</v>
      </c>
      <c r="U60" s="120">
        <f>V60/12</f>
        <v>2500</v>
      </c>
      <c r="V60" s="121">
        <v>30000</v>
      </c>
      <c r="W60" s="103">
        <f t="shared" ref="W60:AH60" si="116">W37*$U$60</f>
        <v>2500</v>
      </c>
      <c r="X60" s="103">
        <f t="shared" si="116"/>
        <v>2500</v>
      </c>
      <c r="Y60" s="103">
        <f t="shared" si="116"/>
        <v>2500</v>
      </c>
      <c r="Z60" s="103">
        <f t="shared" si="116"/>
        <v>2500</v>
      </c>
      <c r="AA60" s="103">
        <f t="shared" si="116"/>
        <v>2500</v>
      </c>
      <c r="AB60" s="103">
        <f t="shared" si="116"/>
        <v>2500</v>
      </c>
      <c r="AC60" s="103">
        <f t="shared" si="116"/>
        <v>2500</v>
      </c>
      <c r="AD60" s="103">
        <f t="shared" si="116"/>
        <v>2500</v>
      </c>
      <c r="AE60" s="103">
        <f t="shared" si="116"/>
        <v>2500</v>
      </c>
      <c r="AF60" s="103">
        <f t="shared" si="116"/>
        <v>2500</v>
      </c>
      <c r="AG60" s="103">
        <f t="shared" si="116"/>
        <v>2500</v>
      </c>
      <c r="AH60" s="103">
        <f t="shared" si="116"/>
        <v>2500</v>
      </c>
      <c r="AI60" s="82">
        <f t="shared" si="115"/>
        <v>30000</v>
      </c>
    </row>
    <row r="61" spans="2:35" outlineLevel="1" x14ac:dyDescent="0.2">
      <c r="B61" s="124" t="s">
        <v>137</v>
      </c>
      <c r="C61" s="49" t="s">
        <v>138</v>
      </c>
      <c r="D61" s="62">
        <v>520</v>
      </c>
      <c r="E61" s="118"/>
      <c r="F61" s="103">
        <v>0</v>
      </c>
      <c r="G61" s="103">
        <f t="shared" ref="G61:Q61" si="117">G38*$D$61</f>
        <v>0</v>
      </c>
      <c r="H61" s="103">
        <f t="shared" si="117"/>
        <v>0</v>
      </c>
      <c r="I61" s="103">
        <f t="shared" si="117"/>
        <v>0</v>
      </c>
      <c r="J61" s="103">
        <f t="shared" si="117"/>
        <v>0</v>
      </c>
      <c r="K61" s="103">
        <f t="shared" si="117"/>
        <v>520</v>
      </c>
      <c r="L61" s="103">
        <f t="shared" si="117"/>
        <v>520</v>
      </c>
      <c r="M61" s="103">
        <f t="shared" si="117"/>
        <v>520</v>
      </c>
      <c r="N61" s="103">
        <f t="shared" si="117"/>
        <v>520</v>
      </c>
      <c r="O61" s="103">
        <f t="shared" si="117"/>
        <v>520</v>
      </c>
      <c r="P61" s="103">
        <f t="shared" si="117"/>
        <v>520</v>
      </c>
      <c r="Q61" s="103">
        <f t="shared" si="117"/>
        <v>520</v>
      </c>
      <c r="R61" s="82">
        <f>SUM(F61:Q61)</f>
        <v>3640</v>
      </c>
      <c r="T61" s="49" t="s">
        <v>138</v>
      </c>
      <c r="U61" s="62">
        <v>520</v>
      </c>
      <c r="V61" s="118"/>
      <c r="W61" s="103">
        <v>0</v>
      </c>
      <c r="X61" s="103">
        <f t="shared" ref="X61:AH61" si="118">X38*$D$61</f>
        <v>1040</v>
      </c>
      <c r="Y61" s="103">
        <f t="shared" si="118"/>
        <v>1040</v>
      </c>
      <c r="Z61" s="103">
        <f t="shared" si="118"/>
        <v>1040</v>
      </c>
      <c r="AA61" s="103">
        <f t="shared" si="118"/>
        <v>1040</v>
      </c>
      <c r="AB61" s="103">
        <f t="shared" si="118"/>
        <v>1040</v>
      </c>
      <c r="AC61" s="103">
        <f t="shared" si="118"/>
        <v>1040</v>
      </c>
      <c r="AD61" s="103">
        <f t="shared" si="118"/>
        <v>1040</v>
      </c>
      <c r="AE61" s="103">
        <f t="shared" si="118"/>
        <v>1040</v>
      </c>
      <c r="AF61" s="103">
        <f t="shared" si="118"/>
        <v>1040</v>
      </c>
      <c r="AG61" s="103">
        <f t="shared" si="118"/>
        <v>1040</v>
      </c>
      <c r="AH61" s="103">
        <f t="shared" si="118"/>
        <v>1040</v>
      </c>
      <c r="AI61" s="82">
        <f>SUM(W61:AH61)</f>
        <v>11440</v>
      </c>
    </row>
    <row r="62" spans="2:35" outlineLevel="1" x14ac:dyDescent="0.2">
      <c r="B62" s="124" t="s">
        <v>139</v>
      </c>
      <c r="C62" s="49" t="s">
        <v>140</v>
      </c>
      <c r="D62" s="125">
        <v>0.12</v>
      </c>
      <c r="E62" s="126"/>
      <c r="F62" s="103">
        <f t="shared" ref="F62:Q62" si="119">SUM(F59:F60)*$D62</f>
        <v>0</v>
      </c>
      <c r="G62" s="103">
        <f t="shared" si="119"/>
        <v>0</v>
      </c>
      <c r="H62" s="103">
        <f t="shared" si="119"/>
        <v>0</v>
      </c>
      <c r="I62" s="103">
        <f t="shared" si="119"/>
        <v>0</v>
      </c>
      <c r="J62" s="103">
        <f t="shared" si="119"/>
        <v>0</v>
      </c>
      <c r="K62" s="103">
        <f t="shared" si="119"/>
        <v>800</v>
      </c>
      <c r="L62" s="103">
        <f t="shared" si="119"/>
        <v>800</v>
      </c>
      <c r="M62" s="103">
        <f t="shared" si="119"/>
        <v>800</v>
      </c>
      <c r="N62" s="103">
        <f t="shared" si="119"/>
        <v>800</v>
      </c>
      <c r="O62" s="103">
        <f t="shared" si="119"/>
        <v>800</v>
      </c>
      <c r="P62" s="103">
        <f t="shared" si="119"/>
        <v>800</v>
      </c>
      <c r="Q62" s="103">
        <f t="shared" si="119"/>
        <v>800</v>
      </c>
      <c r="R62" s="82">
        <f>SUM(F62:Q62)</f>
        <v>5600</v>
      </c>
      <c r="T62" s="49" t="s">
        <v>140</v>
      </c>
      <c r="U62" s="125">
        <v>0.12</v>
      </c>
      <c r="V62" s="126"/>
      <c r="W62" s="103">
        <f t="shared" ref="W62:AH62" si="120">SUM(W59:W60)*$D62</f>
        <v>1100</v>
      </c>
      <c r="X62" s="103">
        <f t="shared" si="120"/>
        <v>1100</v>
      </c>
      <c r="Y62" s="103">
        <f t="shared" si="120"/>
        <v>1100</v>
      </c>
      <c r="Z62" s="103">
        <f t="shared" si="120"/>
        <v>1100</v>
      </c>
      <c r="AA62" s="103">
        <f t="shared" si="120"/>
        <v>1100</v>
      </c>
      <c r="AB62" s="103">
        <f t="shared" si="120"/>
        <v>1100</v>
      </c>
      <c r="AC62" s="103">
        <f t="shared" si="120"/>
        <v>1100</v>
      </c>
      <c r="AD62" s="103">
        <f t="shared" si="120"/>
        <v>1100</v>
      </c>
      <c r="AE62" s="103">
        <f t="shared" si="120"/>
        <v>1100</v>
      </c>
      <c r="AF62" s="103">
        <f t="shared" si="120"/>
        <v>1100</v>
      </c>
      <c r="AG62" s="103">
        <f t="shared" si="120"/>
        <v>1100</v>
      </c>
      <c r="AH62" s="103">
        <f t="shared" si="120"/>
        <v>1100</v>
      </c>
      <c r="AI62" s="82">
        <f>SUM(W62:AH62)</f>
        <v>13200</v>
      </c>
    </row>
    <row r="63" spans="2:35" x14ac:dyDescent="0.2">
      <c r="B63" s="124" t="s">
        <v>141</v>
      </c>
      <c r="C63" s="49"/>
      <c r="D63" s="39"/>
      <c r="E63" s="99"/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f>25+(4*M$38)</f>
        <v>29</v>
      </c>
      <c r="N63" s="103">
        <f>25+(4*N$38)</f>
        <v>29</v>
      </c>
      <c r="O63" s="103">
        <f>25+(4*O$38)</f>
        <v>29</v>
      </c>
      <c r="P63" s="103">
        <f>25+(4*P$38)</f>
        <v>29</v>
      </c>
      <c r="Q63" s="103">
        <f>25+(4*Q$38)</f>
        <v>29</v>
      </c>
      <c r="R63" s="82">
        <f>SUM(F63:Q63)</f>
        <v>145</v>
      </c>
      <c r="T63" s="49"/>
      <c r="U63" s="39"/>
      <c r="V63" s="99"/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103">
        <v>0</v>
      </c>
      <c r="AD63" s="103">
        <f>25+(4*AD$38)</f>
        <v>33</v>
      </c>
      <c r="AE63" s="103">
        <f>25+(4*AE$38)</f>
        <v>33</v>
      </c>
      <c r="AF63" s="103">
        <f>25+(4*AF$38)</f>
        <v>33</v>
      </c>
      <c r="AG63" s="103">
        <f>25+(4*AG$38)</f>
        <v>33</v>
      </c>
      <c r="AH63" s="103">
        <f>25+(4*AH$38)</f>
        <v>33</v>
      </c>
      <c r="AI63" s="82">
        <f>SUM(W63:AH63)</f>
        <v>165</v>
      </c>
    </row>
    <row r="64" spans="2:35" outlineLevel="2" x14ac:dyDescent="0.2">
      <c r="B64" s="86" t="s">
        <v>135</v>
      </c>
      <c r="C64" s="49"/>
      <c r="D64" s="39"/>
      <c r="E64" s="99"/>
      <c r="F64" s="293">
        <f t="shared" ref="F64:K64" si="121">SUM(F59:F63)</f>
        <v>0</v>
      </c>
      <c r="G64" s="127">
        <f t="shared" si="121"/>
        <v>0</v>
      </c>
      <c r="H64" s="127">
        <f t="shared" si="121"/>
        <v>0</v>
      </c>
      <c r="I64" s="127">
        <f t="shared" si="121"/>
        <v>0</v>
      </c>
      <c r="J64" s="127">
        <f t="shared" si="121"/>
        <v>0</v>
      </c>
      <c r="K64" s="127">
        <f t="shared" si="121"/>
        <v>7986.666666666667</v>
      </c>
      <c r="L64" s="127">
        <f t="shared" ref="L64:Q64" si="122">SUM(L59:L63)</f>
        <v>7986.666666666667</v>
      </c>
      <c r="M64" s="127">
        <f t="shared" si="122"/>
        <v>8015.666666666667</v>
      </c>
      <c r="N64" s="127">
        <f t="shared" si="122"/>
        <v>8015.666666666667</v>
      </c>
      <c r="O64" s="127">
        <f t="shared" si="122"/>
        <v>8015.666666666667</v>
      </c>
      <c r="P64" s="127">
        <f t="shared" si="122"/>
        <v>8015.666666666667</v>
      </c>
      <c r="Q64" s="127">
        <f t="shared" si="122"/>
        <v>8015.666666666667</v>
      </c>
      <c r="R64" s="127">
        <f>SUM(F64:Q64)</f>
        <v>56051.666666666664</v>
      </c>
      <c r="T64" s="49"/>
      <c r="U64" s="39"/>
      <c r="V64" s="99"/>
      <c r="W64" s="293">
        <f t="shared" ref="W64:AH64" si="123">SUM(W59:W63)</f>
        <v>10266.666666666668</v>
      </c>
      <c r="X64" s="127">
        <f t="shared" si="123"/>
        <v>11306.666666666668</v>
      </c>
      <c r="Y64" s="127">
        <f t="shared" si="123"/>
        <v>11306.666666666668</v>
      </c>
      <c r="Z64" s="127">
        <f t="shared" si="123"/>
        <v>11306.666666666668</v>
      </c>
      <c r="AA64" s="127">
        <f t="shared" si="123"/>
        <v>11306.666666666668</v>
      </c>
      <c r="AB64" s="127">
        <f t="shared" si="123"/>
        <v>11306.666666666668</v>
      </c>
      <c r="AC64" s="127">
        <f t="shared" si="123"/>
        <v>11306.666666666668</v>
      </c>
      <c r="AD64" s="127">
        <f t="shared" si="123"/>
        <v>11339.666666666668</v>
      </c>
      <c r="AE64" s="127">
        <f t="shared" si="123"/>
        <v>11339.666666666668</v>
      </c>
      <c r="AF64" s="127">
        <f t="shared" si="123"/>
        <v>11339.666666666668</v>
      </c>
      <c r="AG64" s="127">
        <f t="shared" si="123"/>
        <v>11339.666666666668</v>
      </c>
      <c r="AH64" s="127">
        <f t="shared" si="123"/>
        <v>11339.666666666668</v>
      </c>
      <c r="AI64" s="127">
        <f>SUM(W64:AH64)</f>
        <v>134805.00000000003</v>
      </c>
    </row>
    <row r="65" spans="2:35" outlineLevel="2" x14ac:dyDescent="0.2">
      <c r="B65" s="54" t="s">
        <v>142</v>
      </c>
      <c r="C65" s="49"/>
      <c r="D65" s="39"/>
      <c r="E65" s="99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64"/>
      <c r="T65" s="49"/>
      <c r="U65" s="39"/>
      <c r="V65" s="99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64"/>
    </row>
    <row r="66" spans="2:35" outlineLevel="2" x14ac:dyDescent="0.2">
      <c r="B66" s="106"/>
      <c r="C66" s="49" t="s">
        <v>115</v>
      </c>
      <c r="D66" s="89" t="s">
        <v>116</v>
      </c>
      <c r="E66" s="122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82">
        <f>SUM(F66:Q66)</f>
        <v>0</v>
      </c>
      <c r="T66" s="49" t="s">
        <v>115</v>
      </c>
      <c r="U66" s="89" t="s">
        <v>116</v>
      </c>
      <c r="V66" s="122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82">
        <f>SUM(W66:AH66)</f>
        <v>0</v>
      </c>
    </row>
    <row r="67" spans="2:35" x14ac:dyDescent="0.2">
      <c r="B67" s="106" t="s">
        <v>252</v>
      </c>
      <c r="C67" s="49" t="s">
        <v>143</v>
      </c>
      <c r="D67" s="120">
        <v>500</v>
      </c>
      <c r="E67" s="118"/>
      <c r="F67" s="103">
        <f t="shared" ref="F67:Q67" si="124">$D67</f>
        <v>500</v>
      </c>
      <c r="G67" s="103">
        <f t="shared" si="124"/>
        <v>500</v>
      </c>
      <c r="H67" s="103">
        <f t="shared" si="124"/>
        <v>500</v>
      </c>
      <c r="I67" s="103">
        <f t="shared" si="124"/>
        <v>500</v>
      </c>
      <c r="J67" s="103">
        <f t="shared" si="124"/>
        <v>500</v>
      </c>
      <c r="K67" s="103">
        <f t="shared" si="124"/>
        <v>500</v>
      </c>
      <c r="L67" s="103">
        <f t="shared" si="124"/>
        <v>500</v>
      </c>
      <c r="M67" s="103">
        <f t="shared" si="124"/>
        <v>500</v>
      </c>
      <c r="N67" s="103">
        <f t="shared" si="124"/>
        <v>500</v>
      </c>
      <c r="O67" s="103">
        <f t="shared" si="124"/>
        <v>500</v>
      </c>
      <c r="P67" s="103">
        <f t="shared" si="124"/>
        <v>500</v>
      </c>
      <c r="Q67" s="103">
        <f t="shared" si="124"/>
        <v>500</v>
      </c>
      <c r="R67" s="82">
        <f>SUM(F67:Q67)</f>
        <v>6000</v>
      </c>
      <c r="T67" s="49" t="s">
        <v>143</v>
      </c>
      <c r="U67" s="120">
        <v>0</v>
      </c>
      <c r="V67" s="118"/>
      <c r="W67" s="103">
        <f>$U67</f>
        <v>0</v>
      </c>
      <c r="X67" s="103">
        <f t="shared" ref="X67:AH67" si="125">$U67</f>
        <v>0</v>
      </c>
      <c r="Y67" s="103">
        <f t="shared" si="125"/>
        <v>0</v>
      </c>
      <c r="Z67" s="103">
        <f t="shared" si="125"/>
        <v>0</v>
      </c>
      <c r="AA67" s="103">
        <f t="shared" si="125"/>
        <v>0</v>
      </c>
      <c r="AB67" s="103">
        <f t="shared" si="125"/>
        <v>0</v>
      </c>
      <c r="AC67" s="103">
        <f t="shared" si="125"/>
        <v>0</v>
      </c>
      <c r="AD67" s="103">
        <f t="shared" si="125"/>
        <v>0</v>
      </c>
      <c r="AE67" s="103">
        <f t="shared" si="125"/>
        <v>0</v>
      </c>
      <c r="AF67" s="103">
        <f t="shared" si="125"/>
        <v>0</v>
      </c>
      <c r="AG67" s="103">
        <f t="shared" si="125"/>
        <v>0</v>
      </c>
      <c r="AH67" s="103">
        <f t="shared" si="125"/>
        <v>0</v>
      </c>
      <c r="AI67" s="82">
        <f>SUM(W67:AH67)</f>
        <v>0</v>
      </c>
    </row>
    <row r="68" spans="2:35" x14ac:dyDescent="0.2">
      <c r="B68" s="106" t="s">
        <v>253</v>
      </c>
      <c r="C68" s="49" t="s">
        <v>143</v>
      </c>
      <c r="D68" s="120">
        <f>75*160</f>
        <v>12000</v>
      </c>
      <c r="E68" s="118"/>
      <c r="F68" s="103">
        <f>$D$68</f>
        <v>12000</v>
      </c>
      <c r="G68" s="103">
        <f t="shared" ref="G68:K68" si="126">$D$68</f>
        <v>12000</v>
      </c>
      <c r="H68" s="103">
        <f t="shared" si="126"/>
        <v>12000</v>
      </c>
      <c r="I68" s="103">
        <f t="shared" si="126"/>
        <v>12000</v>
      </c>
      <c r="J68" s="103">
        <f t="shared" si="126"/>
        <v>12000</v>
      </c>
      <c r="K68" s="103">
        <f t="shared" si="126"/>
        <v>12000</v>
      </c>
      <c r="L68" s="103">
        <f>$D$68</f>
        <v>12000</v>
      </c>
      <c r="M68" s="103"/>
      <c r="N68" s="103"/>
      <c r="O68" s="103"/>
      <c r="P68" s="103"/>
      <c r="Q68" s="103"/>
      <c r="R68" s="82">
        <f>SUM(F68:Q68)</f>
        <v>84000</v>
      </c>
      <c r="T68" s="49" t="s">
        <v>143</v>
      </c>
      <c r="U68" s="120">
        <v>0</v>
      </c>
      <c r="V68" s="118"/>
      <c r="W68" s="103">
        <f>$U$68</f>
        <v>0</v>
      </c>
      <c r="X68" s="103">
        <f t="shared" ref="X68:AH68" si="127">$U$68</f>
        <v>0</v>
      </c>
      <c r="Y68" s="103">
        <f t="shared" si="127"/>
        <v>0</v>
      </c>
      <c r="Z68" s="103">
        <f t="shared" si="127"/>
        <v>0</v>
      </c>
      <c r="AA68" s="103">
        <f t="shared" si="127"/>
        <v>0</v>
      </c>
      <c r="AB68" s="103">
        <f t="shared" si="127"/>
        <v>0</v>
      </c>
      <c r="AC68" s="103">
        <f t="shared" si="127"/>
        <v>0</v>
      </c>
      <c r="AD68" s="103">
        <f t="shared" si="127"/>
        <v>0</v>
      </c>
      <c r="AE68" s="103">
        <f t="shared" si="127"/>
        <v>0</v>
      </c>
      <c r="AF68" s="103">
        <f t="shared" si="127"/>
        <v>0</v>
      </c>
      <c r="AG68" s="103">
        <f t="shared" si="127"/>
        <v>0</v>
      </c>
      <c r="AH68" s="103">
        <f t="shared" si="127"/>
        <v>0</v>
      </c>
      <c r="AI68" s="82">
        <f>SUM(W68:AH68)</f>
        <v>0</v>
      </c>
    </row>
    <row r="69" spans="2:35" x14ac:dyDescent="0.2">
      <c r="B69" s="106" t="s">
        <v>118</v>
      </c>
      <c r="C69" s="49" t="s">
        <v>143</v>
      </c>
      <c r="D69" s="120">
        <f>125*160</f>
        <v>20000</v>
      </c>
      <c r="E69" s="118"/>
      <c r="F69" s="103">
        <f>$D$69</f>
        <v>20000</v>
      </c>
      <c r="G69" s="103">
        <f t="shared" ref="G69:L69" si="128">$D$69</f>
        <v>20000</v>
      </c>
      <c r="H69" s="103">
        <f t="shared" si="128"/>
        <v>20000</v>
      </c>
      <c r="I69" s="103">
        <f t="shared" si="128"/>
        <v>20000</v>
      </c>
      <c r="J69" s="103">
        <f t="shared" si="128"/>
        <v>20000</v>
      </c>
      <c r="K69" s="103">
        <f t="shared" si="128"/>
        <v>20000</v>
      </c>
      <c r="L69" s="103">
        <f t="shared" si="128"/>
        <v>20000</v>
      </c>
      <c r="M69" s="103"/>
      <c r="N69" s="103"/>
      <c r="O69" s="103"/>
      <c r="P69" s="103"/>
      <c r="Q69" s="103"/>
      <c r="R69" s="82">
        <f>SUM(F69:Q69)</f>
        <v>140000</v>
      </c>
      <c r="T69" s="49" t="s">
        <v>143</v>
      </c>
      <c r="U69" s="120">
        <v>0</v>
      </c>
      <c r="V69" s="118"/>
      <c r="W69" s="103">
        <f>$U$69</f>
        <v>0</v>
      </c>
      <c r="X69" s="103">
        <f t="shared" ref="X69:AH69" si="129">$U$69</f>
        <v>0</v>
      </c>
      <c r="Y69" s="103">
        <f t="shared" si="129"/>
        <v>0</v>
      </c>
      <c r="Z69" s="103">
        <f t="shared" si="129"/>
        <v>0</v>
      </c>
      <c r="AA69" s="103">
        <f t="shared" si="129"/>
        <v>0</v>
      </c>
      <c r="AB69" s="103">
        <f t="shared" si="129"/>
        <v>0</v>
      </c>
      <c r="AC69" s="103">
        <f t="shared" si="129"/>
        <v>0</v>
      </c>
      <c r="AD69" s="103">
        <f t="shared" si="129"/>
        <v>0</v>
      </c>
      <c r="AE69" s="103">
        <f t="shared" si="129"/>
        <v>0</v>
      </c>
      <c r="AF69" s="103">
        <f t="shared" si="129"/>
        <v>0</v>
      </c>
      <c r="AG69" s="103">
        <f t="shared" si="129"/>
        <v>0</v>
      </c>
      <c r="AH69" s="103">
        <f t="shared" si="129"/>
        <v>0</v>
      </c>
      <c r="AI69" s="82">
        <f>SUM(W69:AH69)</f>
        <v>0</v>
      </c>
    </row>
    <row r="70" spans="2:35" x14ac:dyDescent="0.2">
      <c r="B70" s="86" t="s">
        <v>142</v>
      </c>
      <c r="C70" s="49"/>
      <c r="D70" s="39"/>
      <c r="E70" s="99"/>
      <c r="F70" s="103">
        <f>SUM(F67:F69)</f>
        <v>32500</v>
      </c>
      <c r="G70" s="103">
        <f t="shared" ref="G70:Q70" si="130">SUM(G67:G69)</f>
        <v>32500</v>
      </c>
      <c r="H70" s="103">
        <f t="shared" si="130"/>
        <v>32500</v>
      </c>
      <c r="I70" s="103">
        <f t="shared" si="130"/>
        <v>32500</v>
      </c>
      <c r="J70" s="103">
        <f t="shared" si="130"/>
        <v>32500</v>
      </c>
      <c r="K70" s="103">
        <f t="shared" si="130"/>
        <v>32500</v>
      </c>
      <c r="L70" s="103">
        <f t="shared" si="130"/>
        <v>32500</v>
      </c>
      <c r="M70" s="103">
        <f t="shared" si="130"/>
        <v>500</v>
      </c>
      <c r="N70" s="103">
        <f t="shared" si="130"/>
        <v>500</v>
      </c>
      <c r="O70" s="103">
        <f t="shared" si="130"/>
        <v>500</v>
      </c>
      <c r="P70" s="103">
        <f t="shared" si="130"/>
        <v>500</v>
      </c>
      <c r="Q70" s="103">
        <f t="shared" si="130"/>
        <v>500</v>
      </c>
      <c r="R70" s="82">
        <f>SUM(F70:Q70)</f>
        <v>230000</v>
      </c>
      <c r="T70" s="49"/>
      <c r="U70" s="39"/>
      <c r="V70" s="99"/>
      <c r="W70" s="103">
        <f>SUM(W67:W69)</f>
        <v>0</v>
      </c>
      <c r="X70" s="103">
        <f t="shared" ref="X70" si="131">SUM(X67:X69)</f>
        <v>0</v>
      </c>
      <c r="Y70" s="103">
        <f t="shared" ref="Y70" si="132">SUM(Y67:Y69)</f>
        <v>0</v>
      </c>
      <c r="Z70" s="103">
        <f t="shared" ref="Z70" si="133">SUM(Z67:Z69)</f>
        <v>0</v>
      </c>
      <c r="AA70" s="103">
        <f t="shared" ref="AA70" si="134">SUM(AA67:AA69)</f>
        <v>0</v>
      </c>
      <c r="AB70" s="103">
        <f t="shared" ref="AB70" si="135">SUM(AB67:AB69)</f>
        <v>0</v>
      </c>
      <c r="AC70" s="103">
        <f t="shared" ref="AC70" si="136">SUM(AC67:AC69)</f>
        <v>0</v>
      </c>
      <c r="AD70" s="103">
        <f t="shared" ref="AD70" si="137">SUM(AD67:AD69)</f>
        <v>0</v>
      </c>
      <c r="AE70" s="103">
        <f t="shared" ref="AE70" si="138">SUM(AE67:AE69)</f>
        <v>0</v>
      </c>
      <c r="AF70" s="103">
        <f t="shared" ref="AF70" si="139">SUM(AF67:AF69)</f>
        <v>0</v>
      </c>
      <c r="AG70" s="103">
        <f t="shared" ref="AG70" si="140">SUM(AG67:AG69)</f>
        <v>0</v>
      </c>
      <c r="AH70" s="103">
        <f t="shared" ref="AH70" si="141">SUM(AH67:AH69)</f>
        <v>0</v>
      </c>
      <c r="AI70" s="82">
        <f>SUM(W70:AH70)</f>
        <v>0</v>
      </c>
    </row>
    <row r="71" spans="2:35" outlineLevel="1" x14ac:dyDescent="0.2">
      <c r="B71" s="54" t="s">
        <v>144</v>
      </c>
      <c r="C71" s="49"/>
      <c r="D71" s="39"/>
      <c r="E71" s="99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5"/>
      <c r="R71" s="105"/>
      <c r="T71" s="49"/>
      <c r="U71" s="39"/>
      <c r="V71" s="99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5"/>
      <c r="AI71" s="105"/>
    </row>
    <row r="72" spans="2:35" outlineLevel="1" x14ac:dyDescent="0.2">
      <c r="B72" s="124" t="s">
        <v>146</v>
      </c>
      <c r="C72" s="49" t="s">
        <v>145</v>
      </c>
      <c r="D72" s="117">
        <v>500</v>
      </c>
      <c r="E72" s="118"/>
      <c r="F72" s="103">
        <f t="shared" ref="F72:Q72" si="142">$D$72</f>
        <v>500</v>
      </c>
      <c r="G72" s="103">
        <f t="shared" si="142"/>
        <v>500</v>
      </c>
      <c r="H72" s="103">
        <f t="shared" si="142"/>
        <v>500</v>
      </c>
      <c r="I72" s="103">
        <f t="shared" si="142"/>
        <v>500</v>
      </c>
      <c r="J72" s="103">
        <f t="shared" si="142"/>
        <v>500</v>
      </c>
      <c r="K72" s="103">
        <f t="shared" si="142"/>
        <v>500</v>
      </c>
      <c r="L72" s="103">
        <f t="shared" si="142"/>
        <v>500</v>
      </c>
      <c r="M72" s="103">
        <f t="shared" si="142"/>
        <v>500</v>
      </c>
      <c r="N72" s="103">
        <f t="shared" si="142"/>
        <v>500</v>
      </c>
      <c r="O72" s="103">
        <f t="shared" si="142"/>
        <v>500</v>
      </c>
      <c r="P72" s="103">
        <f t="shared" si="142"/>
        <v>500</v>
      </c>
      <c r="Q72" s="103">
        <f t="shared" si="142"/>
        <v>500</v>
      </c>
      <c r="R72" s="82">
        <f t="shared" ref="R72:R76" si="143">SUM(F72:Q72)</f>
        <v>6000</v>
      </c>
      <c r="T72" s="49" t="s">
        <v>145</v>
      </c>
      <c r="U72" s="117">
        <v>500</v>
      </c>
      <c r="V72" s="118"/>
      <c r="W72" s="103">
        <f t="shared" ref="W72:AH72" si="144">$D$72</f>
        <v>500</v>
      </c>
      <c r="X72" s="103">
        <f t="shared" si="144"/>
        <v>500</v>
      </c>
      <c r="Y72" s="103">
        <f t="shared" si="144"/>
        <v>500</v>
      </c>
      <c r="Z72" s="103">
        <f t="shared" si="144"/>
        <v>500</v>
      </c>
      <c r="AA72" s="103">
        <f t="shared" si="144"/>
        <v>500</v>
      </c>
      <c r="AB72" s="103">
        <f t="shared" si="144"/>
        <v>500</v>
      </c>
      <c r="AC72" s="103">
        <f t="shared" si="144"/>
        <v>500</v>
      </c>
      <c r="AD72" s="103">
        <f t="shared" si="144"/>
        <v>500</v>
      </c>
      <c r="AE72" s="103">
        <f t="shared" si="144"/>
        <v>500</v>
      </c>
      <c r="AF72" s="103">
        <f t="shared" si="144"/>
        <v>500</v>
      </c>
      <c r="AG72" s="103">
        <f t="shared" si="144"/>
        <v>500</v>
      </c>
      <c r="AH72" s="103">
        <f t="shared" si="144"/>
        <v>500</v>
      </c>
      <c r="AI72" s="82">
        <f t="shared" ref="AI72:AI76" si="145">SUM(W72:AH72)</f>
        <v>6000</v>
      </c>
    </row>
    <row r="73" spans="2:35" outlineLevel="1" x14ac:dyDescent="0.2">
      <c r="B73" s="124" t="s">
        <v>147</v>
      </c>
      <c r="C73" s="49" t="s">
        <v>145</v>
      </c>
      <c r="D73" s="117">
        <v>500</v>
      </c>
      <c r="E73" s="118"/>
      <c r="F73" s="103">
        <f t="shared" ref="F73:Q73" si="146">$D$73</f>
        <v>500</v>
      </c>
      <c r="G73" s="103">
        <f t="shared" si="146"/>
        <v>500</v>
      </c>
      <c r="H73" s="103">
        <f t="shared" si="146"/>
        <v>500</v>
      </c>
      <c r="I73" s="103">
        <f t="shared" si="146"/>
        <v>500</v>
      </c>
      <c r="J73" s="103">
        <f t="shared" si="146"/>
        <v>500</v>
      </c>
      <c r="K73" s="103">
        <f t="shared" si="146"/>
        <v>500</v>
      </c>
      <c r="L73" s="103">
        <f t="shared" si="146"/>
        <v>500</v>
      </c>
      <c r="M73" s="103">
        <f t="shared" si="146"/>
        <v>500</v>
      </c>
      <c r="N73" s="103">
        <f t="shared" si="146"/>
        <v>500</v>
      </c>
      <c r="O73" s="103">
        <f t="shared" si="146"/>
        <v>500</v>
      </c>
      <c r="P73" s="103">
        <f t="shared" si="146"/>
        <v>500</v>
      </c>
      <c r="Q73" s="103">
        <f t="shared" si="146"/>
        <v>500</v>
      </c>
      <c r="R73" s="82">
        <f t="shared" si="143"/>
        <v>6000</v>
      </c>
      <c r="T73" s="49" t="s">
        <v>145</v>
      </c>
      <c r="U73" s="117">
        <v>500</v>
      </c>
      <c r="V73" s="118"/>
      <c r="W73" s="103">
        <f t="shared" ref="W73:AH73" si="147">$D$73</f>
        <v>500</v>
      </c>
      <c r="X73" s="103">
        <f t="shared" si="147"/>
        <v>500</v>
      </c>
      <c r="Y73" s="103">
        <f t="shared" si="147"/>
        <v>500</v>
      </c>
      <c r="Z73" s="103">
        <f t="shared" si="147"/>
        <v>500</v>
      </c>
      <c r="AA73" s="103">
        <f t="shared" si="147"/>
        <v>500</v>
      </c>
      <c r="AB73" s="103">
        <f t="shared" si="147"/>
        <v>500</v>
      </c>
      <c r="AC73" s="103">
        <f t="shared" si="147"/>
        <v>500</v>
      </c>
      <c r="AD73" s="103">
        <f t="shared" si="147"/>
        <v>500</v>
      </c>
      <c r="AE73" s="103">
        <f t="shared" si="147"/>
        <v>500</v>
      </c>
      <c r="AF73" s="103">
        <f t="shared" si="147"/>
        <v>500</v>
      </c>
      <c r="AG73" s="103">
        <f t="shared" si="147"/>
        <v>500</v>
      </c>
      <c r="AH73" s="103">
        <f t="shared" si="147"/>
        <v>500</v>
      </c>
      <c r="AI73" s="82">
        <f t="shared" si="145"/>
        <v>6000</v>
      </c>
    </row>
    <row r="74" spans="2:35" outlineLevel="1" x14ac:dyDescent="0.2">
      <c r="B74" s="124" t="s">
        <v>148</v>
      </c>
      <c r="C74" s="49" t="s">
        <v>131</v>
      </c>
      <c r="D74" s="117">
        <v>200</v>
      </c>
      <c r="E74" s="118"/>
      <c r="F74" s="103">
        <f t="shared" ref="F74:Q74" si="148">$D$74</f>
        <v>200</v>
      </c>
      <c r="G74" s="103">
        <f t="shared" si="148"/>
        <v>200</v>
      </c>
      <c r="H74" s="103">
        <f t="shared" si="148"/>
        <v>200</v>
      </c>
      <c r="I74" s="103">
        <f t="shared" si="148"/>
        <v>200</v>
      </c>
      <c r="J74" s="103">
        <f t="shared" si="148"/>
        <v>200</v>
      </c>
      <c r="K74" s="103">
        <f t="shared" si="148"/>
        <v>200</v>
      </c>
      <c r="L74" s="103">
        <f t="shared" si="148"/>
        <v>200</v>
      </c>
      <c r="M74" s="103">
        <f t="shared" si="148"/>
        <v>200</v>
      </c>
      <c r="N74" s="103">
        <f t="shared" si="148"/>
        <v>200</v>
      </c>
      <c r="O74" s="103">
        <f t="shared" si="148"/>
        <v>200</v>
      </c>
      <c r="P74" s="103">
        <f t="shared" si="148"/>
        <v>200</v>
      </c>
      <c r="Q74" s="103">
        <f t="shared" si="148"/>
        <v>200</v>
      </c>
      <c r="R74" s="82">
        <f t="shared" si="143"/>
        <v>2400</v>
      </c>
      <c r="T74" s="49" t="s">
        <v>131</v>
      </c>
      <c r="U74" s="117">
        <v>200</v>
      </c>
      <c r="V74" s="118"/>
      <c r="W74" s="103">
        <f t="shared" ref="W74:AH74" si="149">$D$74</f>
        <v>200</v>
      </c>
      <c r="X74" s="103">
        <f t="shared" si="149"/>
        <v>200</v>
      </c>
      <c r="Y74" s="103">
        <f t="shared" si="149"/>
        <v>200</v>
      </c>
      <c r="Z74" s="103">
        <f t="shared" si="149"/>
        <v>200</v>
      </c>
      <c r="AA74" s="103">
        <f t="shared" si="149"/>
        <v>200</v>
      </c>
      <c r="AB74" s="103">
        <f t="shared" si="149"/>
        <v>200</v>
      </c>
      <c r="AC74" s="103">
        <f t="shared" si="149"/>
        <v>200</v>
      </c>
      <c r="AD74" s="103">
        <f t="shared" si="149"/>
        <v>200</v>
      </c>
      <c r="AE74" s="103">
        <f t="shared" si="149"/>
        <v>200</v>
      </c>
      <c r="AF74" s="103">
        <f t="shared" si="149"/>
        <v>200</v>
      </c>
      <c r="AG74" s="103">
        <f t="shared" si="149"/>
        <v>200</v>
      </c>
      <c r="AH74" s="103">
        <f t="shared" si="149"/>
        <v>200</v>
      </c>
      <c r="AI74" s="82">
        <f t="shared" si="145"/>
        <v>2400</v>
      </c>
    </row>
    <row r="75" spans="2:35" outlineLevel="1" x14ac:dyDescent="0.2">
      <c r="B75" s="124" t="s">
        <v>149</v>
      </c>
      <c r="C75" s="49" t="s">
        <v>145</v>
      </c>
      <c r="D75" s="117">
        <v>100</v>
      </c>
      <c r="E75" s="118" t="s">
        <v>150</v>
      </c>
      <c r="F75" s="103">
        <f t="shared" ref="F75:Q75" si="150">$D75*F38</f>
        <v>0</v>
      </c>
      <c r="G75" s="103">
        <f t="shared" si="150"/>
        <v>0</v>
      </c>
      <c r="H75" s="103">
        <f t="shared" si="150"/>
        <v>0</v>
      </c>
      <c r="I75" s="103">
        <f t="shared" si="150"/>
        <v>0</v>
      </c>
      <c r="J75" s="103">
        <f t="shared" si="150"/>
        <v>0</v>
      </c>
      <c r="K75" s="103">
        <f t="shared" si="150"/>
        <v>100</v>
      </c>
      <c r="L75" s="103">
        <f t="shared" si="150"/>
        <v>100</v>
      </c>
      <c r="M75" s="103">
        <f t="shared" si="150"/>
        <v>100</v>
      </c>
      <c r="N75" s="103">
        <f t="shared" si="150"/>
        <v>100</v>
      </c>
      <c r="O75" s="103">
        <f t="shared" si="150"/>
        <v>100</v>
      </c>
      <c r="P75" s="103">
        <f t="shared" si="150"/>
        <v>100</v>
      </c>
      <c r="Q75" s="103">
        <f t="shared" si="150"/>
        <v>100</v>
      </c>
      <c r="R75" s="82">
        <f t="shared" si="143"/>
        <v>700</v>
      </c>
      <c r="T75" s="49" t="s">
        <v>145</v>
      </c>
      <c r="U75" s="117">
        <v>100</v>
      </c>
      <c r="V75" s="118" t="s">
        <v>150</v>
      </c>
      <c r="W75" s="103">
        <f t="shared" ref="W75:AH75" si="151">$D75*W38</f>
        <v>200</v>
      </c>
      <c r="X75" s="103">
        <f t="shared" si="151"/>
        <v>200</v>
      </c>
      <c r="Y75" s="103">
        <f t="shared" si="151"/>
        <v>200</v>
      </c>
      <c r="Z75" s="103">
        <f t="shared" si="151"/>
        <v>200</v>
      </c>
      <c r="AA75" s="103">
        <f t="shared" si="151"/>
        <v>200</v>
      </c>
      <c r="AB75" s="103">
        <f t="shared" si="151"/>
        <v>200</v>
      </c>
      <c r="AC75" s="103">
        <f t="shared" si="151"/>
        <v>200</v>
      </c>
      <c r="AD75" s="103">
        <f t="shared" si="151"/>
        <v>200</v>
      </c>
      <c r="AE75" s="103">
        <f t="shared" si="151"/>
        <v>200</v>
      </c>
      <c r="AF75" s="103">
        <f t="shared" si="151"/>
        <v>200</v>
      </c>
      <c r="AG75" s="103">
        <f t="shared" si="151"/>
        <v>200</v>
      </c>
      <c r="AH75" s="103">
        <f t="shared" si="151"/>
        <v>200</v>
      </c>
      <c r="AI75" s="82">
        <f t="shared" si="145"/>
        <v>2400</v>
      </c>
    </row>
    <row r="76" spans="2:35" outlineLevel="1" x14ac:dyDescent="0.2">
      <c r="B76" s="124" t="s">
        <v>151</v>
      </c>
      <c r="C76" s="49" t="s">
        <v>145</v>
      </c>
      <c r="D76" s="117">
        <v>500</v>
      </c>
      <c r="E76" s="118"/>
      <c r="F76" s="103">
        <f t="shared" ref="F76:Q76" si="152">$D76*F$38</f>
        <v>0</v>
      </c>
      <c r="G76" s="103">
        <f t="shared" si="152"/>
        <v>0</v>
      </c>
      <c r="H76" s="103">
        <f t="shared" si="152"/>
        <v>0</v>
      </c>
      <c r="I76" s="103">
        <f t="shared" si="152"/>
        <v>0</v>
      </c>
      <c r="J76" s="103">
        <f t="shared" si="152"/>
        <v>0</v>
      </c>
      <c r="K76" s="103">
        <f t="shared" si="152"/>
        <v>500</v>
      </c>
      <c r="L76" s="103">
        <f t="shared" si="152"/>
        <v>500</v>
      </c>
      <c r="M76" s="103">
        <f t="shared" si="152"/>
        <v>500</v>
      </c>
      <c r="N76" s="103">
        <f t="shared" si="152"/>
        <v>500</v>
      </c>
      <c r="O76" s="103">
        <f t="shared" si="152"/>
        <v>500</v>
      </c>
      <c r="P76" s="103">
        <f t="shared" si="152"/>
        <v>500</v>
      </c>
      <c r="Q76" s="103">
        <f t="shared" si="152"/>
        <v>500</v>
      </c>
      <c r="R76" s="82">
        <f t="shared" si="143"/>
        <v>3500</v>
      </c>
      <c r="T76" s="49" t="s">
        <v>145</v>
      </c>
      <c r="U76" s="117">
        <v>500</v>
      </c>
      <c r="V76" s="118"/>
      <c r="W76" s="103">
        <f t="shared" ref="W76:AH76" si="153">$D76*W$38</f>
        <v>1000</v>
      </c>
      <c r="X76" s="103">
        <f t="shared" si="153"/>
        <v>1000</v>
      </c>
      <c r="Y76" s="103">
        <f t="shared" si="153"/>
        <v>1000</v>
      </c>
      <c r="Z76" s="103">
        <f t="shared" si="153"/>
        <v>1000</v>
      </c>
      <c r="AA76" s="103">
        <f t="shared" si="153"/>
        <v>1000</v>
      </c>
      <c r="AB76" s="103">
        <f t="shared" si="153"/>
        <v>1000</v>
      </c>
      <c r="AC76" s="103">
        <f t="shared" si="153"/>
        <v>1000</v>
      </c>
      <c r="AD76" s="103">
        <f t="shared" si="153"/>
        <v>1000</v>
      </c>
      <c r="AE76" s="103">
        <f t="shared" si="153"/>
        <v>1000</v>
      </c>
      <c r="AF76" s="103">
        <f t="shared" si="153"/>
        <v>1000</v>
      </c>
      <c r="AG76" s="103">
        <f t="shared" si="153"/>
        <v>1000</v>
      </c>
      <c r="AH76" s="103">
        <f t="shared" si="153"/>
        <v>1000</v>
      </c>
      <c r="AI76" s="82">
        <f t="shared" si="145"/>
        <v>12000</v>
      </c>
    </row>
    <row r="77" spans="2:35" outlineLevel="1" x14ac:dyDescent="0.2">
      <c r="B77" s="124" t="s">
        <v>153</v>
      </c>
      <c r="C77" s="49" t="s">
        <v>152</v>
      </c>
      <c r="D77" s="117">
        <v>500</v>
      </c>
      <c r="E77" s="118"/>
      <c r="F77" s="103">
        <f t="shared" ref="F77:Q77" si="154">$D77</f>
        <v>500</v>
      </c>
      <c r="G77" s="103">
        <f t="shared" si="154"/>
        <v>500</v>
      </c>
      <c r="H77" s="103">
        <f t="shared" si="154"/>
        <v>500</v>
      </c>
      <c r="I77" s="103">
        <f t="shared" si="154"/>
        <v>500</v>
      </c>
      <c r="J77" s="103">
        <f t="shared" si="154"/>
        <v>500</v>
      </c>
      <c r="K77" s="103">
        <f t="shared" si="154"/>
        <v>500</v>
      </c>
      <c r="L77" s="103">
        <f t="shared" si="154"/>
        <v>500</v>
      </c>
      <c r="M77" s="103">
        <f t="shared" si="154"/>
        <v>500</v>
      </c>
      <c r="N77" s="103">
        <f t="shared" si="154"/>
        <v>500</v>
      </c>
      <c r="O77" s="103">
        <f t="shared" si="154"/>
        <v>500</v>
      </c>
      <c r="P77" s="103">
        <f t="shared" si="154"/>
        <v>500</v>
      </c>
      <c r="Q77" s="103">
        <f t="shared" si="154"/>
        <v>500</v>
      </c>
      <c r="R77" s="82">
        <f>SUM(F77:Q77)</f>
        <v>6000</v>
      </c>
      <c r="T77" s="49" t="s">
        <v>152</v>
      </c>
      <c r="U77" s="117">
        <v>500</v>
      </c>
      <c r="V77" s="118"/>
      <c r="W77" s="103">
        <f t="shared" ref="W77:AH77" si="155">$D77</f>
        <v>500</v>
      </c>
      <c r="X77" s="103">
        <f t="shared" si="155"/>
        <v>500</v>
      </c>
      <c r="Y77" s="103">
        <f t="shared" si="155"/>
        <v>500</v>
      </c>
      <c r="Z77" s="103">
        <f t="shared" si="155"/>
        <v>500</v>
      </c>
      <c r="AA77" s="103">
        <f t="shared" si="155"/>
        <v>500</v>
      </c>
      <c r="AB77" s="103">
        <f t="shared" si="155"/>
        <v>500</v>
      </c>
      <c r="AC77" s="103">
        <f t="shared" si="155"/>
        <v>500</v>
      </c>
      <c r="AD77" s="103">
        <f t="shared" si="155"/>
        <v>500</v>
      </c>
      <c r="AE77" s="103">
        <f t="shared" si="155"/>
        <v>500</v>
      </c>
      <c r="AF77" s="103">
        <f t="shared" si="155"/>
        <v>500</v>
      </c>
      <c r="AG77" s="103">
        <f t="shared" si="155"/>
        <v>500</v>
      </c>
      <c r="AH77" s="103">
        <f t="shared" si="155"/>
        <v>500</v>
      </c>
      <c r="AI77" s="82">
        <f>SUM(W77:AH77)</f>
        <v>6000</v>
      </c>
    </row>
    <row r="78" spans="2:35" outlineLevel="1" x14ac:dyDescent="0.2">
      <c r="B78" s="124" t="s">
        <v>247</v>
      </c>
      <c r="C78" s="49" t="s">
        <v>145</v>
      </c>
      <c r="D78" s="117">
        <v>3000</v>
      </c>
      <c r="E78" s="118"/>
      <c r="F78" s="103">
        <f t="shared" ref="F78:Q78" si="156">$D$78</f>
        <v>3000</v>
      </c>
      <c r="G78" s="103">
        <f t="shared" si="156"/>
        <v>3000</v>
      </c>
      <c r="H78" s="103">
        <f t="shared" si="156"/>
        <v>3000</v>
      </c>
      <c r="I78" s="103">
        <f t="shared" si="156"/>
        <v>3000</v>
      </c>
      <c r="J78" s="103">
        <f t="shared" si="156"/>
        <v>3000</v>
      </c>
      <c r="K78" s="103">
        <f t="shared" si="156"/>
        <v>3000</v>
      </c>
      <c r="L78" s="103">
        <f t="shared" si="156"/>
        <v>3000</v>
      </c>
      <c r="M78" s="103">
        <f t="shared" si="156"/>
        <v>3000</v>
      </c>
      <c r="N78" s="103">
        <f t="shared" si="156"/>
        <v>3000</v>
      </c>
      <c r="O78" s="103">
        <f t="shared" si="156"/>
        <v>3000</v>
      </c>
      <c r="P78" s="103">
        <f t="shared" si="156"/>
        <v>3000</v>
      </c>
      <c r="Q78" s="103">
        <f t="shared" si="156"/>
        <v>3000</v>
      </c>
      <c r="R78" s="82">
        <f t="shared" ref="R78:R81" si="157">SUM(F78:Q78)</f>
        <v>36000</v>
      </c>
      <c r="T78" s="49" t="s">
        <v>145</v>
      </c>
      <c r="U78" s="117">
        <v>3000</v>
      </c>
      <c r="V78" s="118"/>
      <c r="W78" s="103">
        <f t="shared" ref="W78:AH78" si="158">$D$78</f>
        <v>3000</v>
      </c>
      <c r="X78" s="103">
        <f t="shared" si="158"/>
        <v>3000</v>
      </c>
      <c r="Y78" s="103">
        <f t="shared" si="158"/>
        <v>3000</v>
      </c>
      <c r="Z78" s="103">
        <f t="shared" si="158"/>
        <v>3000</v>
      </c>
      <c r="AA78" s="103">
        <f t="shared" si="158"/>
        <v>3000</v>
      </c>
      <c r="AB78" s="103">
        <f t="shared" si="158"/>
        <v>3000</v>
      </c>
      <c r="AC78" s="103">
        <f t="shared" si="158"/>
        <v>3000</v>
      </c>
      <c r="AD78" s="103">
        <f t="shared" si="158"/>
        <v>3000</v>
      </c>
      <c r="AE78" s="103">
        <f t="shared" si="158"/>
        <v>3000</v>
      </c>
      <c r="AF78" s="103">
        <f t="shared" si="158"/>
        <v>3000</v>
      </c>
      <c r="AG78" s="103">
        <f t="shared" si="158"/>
        <v>3000</v>
      </c>
      <c r="AH78" s="103">
        <f t="shared" si="158"/>
        <v>3000</v>
      </c>
      <c r="AI78" s="82">
        <f t="shared" ref="AI78:AI79" si="159">SUM(W78:AH78)</f>
        <v>36000</v>
      </c>
    </row>
    <row r="79" spans="2:35" x14ac:dyDescent="0.2">
      <c r="B79" s="86" t="s">
        <v>144</v>
      </c>
      <c r="C79" s="49"/>
      <c r="D79" s="98"/>
      <c r="E79" s="99"/>
      <c r="F79" s="103">
        <f t="shared" ref="F79:Q79" si="160">SUM(F72:F78)</f>
        <v>4700</v>
      </c>
      <c r="G79" s="103">
        <f t="shared" si="160"/>
        <v>4700</v>
      </c>
      <c r="H79" s="103">
        <f t="shared" si="160"/>
        <v>4700</v>
      </c>
      <c r="I79" s="103">
        <f t="shared" si="160"/>
        <v>4700</v>
      </c>
      <c r="J79" s="103">
        <f t="shared" si="160"/>
        <v>4700</v>
      </c>
      <c r="K79" s="103">
        <f t="shared" si="160"/>
        <v>5300</v>
      </c>
      <c r="L79" s="103">
        <f t="shared" si="160"/>
        <v>5300</v>
      </c>
      <c r="M79" s="103">
        <f t="shared" si="160"/>
        <v>5300</v>
      </c>
      <c r="N79" s="103">
        <f t="shared" si="160"/>
        <v>5300</v>
      </c>
      <c r="O79" s="103">
        <f t="shared" si="160"/>
        <v>5300</v>
      </c>
      <c r="P79" s="103">
        <f t="shared" si="160"/>
        <v>5300</v>
      </c>
      <c r="Q79" s="104">
        <f t="shared" si="160"/>
        <v>5300</v>
      </c>
      <c r="R79" s="82">
        <f t="shared" si="157"/>
        <v>60600</v>
      </c>
      <c r="T79" s="49"/>
      <c r="U79" s="98"/>
      <c r="V79" s="99"/>
      <c r="W79" s="103">
        <f t="shared" ref="W79:AH79" si="161">SUM(W72:W78)</f>
        <v>5900</v>
      </c>
      <c r="X79" s="103">
        <f t="shared" si="161"/>
        <v>5900</v>
      </c>
      <c r="Y79" s="103">
        <f t="shared" si="161"/>
        <v>5900</v>
      </c>
      <c r="Z79" s="103">
        <f t="shared" si="161"/>
        <v>5900</v>
      </c>
      <c r="AA79" s="103">
        <f t="shared" si="161"/>
        <v>5900</v>
      </c>
      <c r="AB79" s="103">
        <f t="shared" si="161"/>
        <v>5900</v>
      </c>
      <c r="AC79" s="103">
        <f t="shared" si="161"/>
        <v>5900</v>
      </c>
      <c r="AD79" s="103">
        <f t="shared" si="161"/>
        <v>5900</v>
      </c>
      <c r="AE79" s="103">
        <f t="shared" si="161"/>
        <v>5900</v>
      </c>
      <c r="AF79" s="103">
        <f t="shared" si="161"/>
        <v>5900</v>
      </c>
      <c r="AG79" s="103">
        <f t="shared" si="161"/>
        <v>5900</v>
      </c>
      <c r="AH79" s="104">
        <f t="shared" si="161"/>
        <v>5900</v>
      </c>
      <c r="AI79" s="82">
        <f t="shared" si="159"/>
        <v>70800</v>
      </c>
    </row>
    <row r="80" spans="2:35" x14ac:dyDescent="0.2">
      <c r="B80" s="86" t="s">
        <v>128</v>
      </c>
      <c r="C80" s="129"/>
      <c r="D80" s="98"/>
      <c r="E80" s="99"/>
      <c r="F80" s="103">
        <f>F57+F64+F79+F70</f>
        <v>37200</v>
      </c>
      <c r="G80" s="103">
        <f>G57+G64+G79+G70</f>
        <v>37200</v>
      </c>
      <c r="H80" s="103">
        <f t="shared" ref="H80:Q80" si="162">H57+H64+H79+H70</f>
        <v>37200</v>
      </c>
      <c r="I80" s="103">
        <f t="shared" si="162"/>
        <v>37200</v>
      </c>
      <c r="J80" s="103">
        <f t="shared" si="162"/>
        <v>37200</v>
      </c>
      <c r="K80" s="103">
        <f t="shared" si="162"/>
        <v>47786.666666666672</v>
      </c>
      <c r="L80" s="103">
        <f t="shared" si="162"/>
        <v>47786.666666666672</v>
      </c>
      <c r="M80" s="103">
        <f t="shared" si="162"/>
        <v>15815.666666666668</v>
      </c>
      <c r="N80" s="103">
        <f t="shared" si="162"/>
        <v>15815.666666666668</v>
      </c>
      <c r="O80" s="103">
        <f t="shared" si="162"/>
        <v>15815.666666666668</v>
      </c>
      <c r="P80" s="103">
        <f t="shared" si="162"/>
        <v>15815.666666666668</v>
      </c>
      <c r="Q80" s="103">
        <f t="shared" si="162"/>
        <v>15815.666666666668</v>
      </c>
      <c r="R80" s="82">
        <f>SUM(F80:Q80)</f>
        <v>360651.6666666668</v>
      </c>
      <c r="T80" s="129"/>
      <c r="U80" s="98"/>
      <c r="V80" s="99"/>
      <c r="W80" s="103">
        <f>W57+W64+W79+W70</f>
        <v>18166.666666666668</v>
      </c>
      <c r="X80" s="103">
        <f>X57+X64+X79+X70</f>
        <v>19206.666666666668</v>
      </c>
      <c r="Y80" s="103">
        <f t="shared" ref="Y80" si="163">Y57+Y64+Y79+Y70</f>
        <v>19206.666666666668</v>
      </c>
      <c r="Z80" s="103">
        <f t="shared" ref="Z80" si="164">Z57+Z64+Z79+Z70</f>
        <v>19206.666666666668</v>
      </c>
      <c r="AA80" s="103">
        <f t="shared" ref="AA80" si="165">AA57+AA64+AA79+AA70</f>
        <v>19206.666666666668</v>
      </c>
      <c r="AB80" s="103">
        <f t="shared" ref="AB80" si="166">AB57+AB64+AB79+AB70</f>
        <v>19206.666666666668</v>
      </c>
      <c r="AC80" s="103">
        <f t="shared" ref="AC80" si="167">AC57+AC64+AC79+AC70</f>
        <v>19206.666666666668</v>
      </c>
      <c r="AD80" s="103">
        <f t="shared" ref="AD80" si="168">AD57+AD64+AD79+AD70</f>
        <v>19239.666666666668</v>
      </c>
      <c r="AE80" s="103">
        <f t="shared" ref="AE80" si="169">AE57+AE64+AE79+AE70</f>
        <v>19239.666666666668</v>
      </c>
      <c r="AF80" s="103">
        <f t="shared" ref="AF80" si="170">AF57+AF64+AF79+AF70</f>
        <v>19239.666666666668</v>
      </c>
      <c r="AG80" s="103">
        <f t="shared" ref="AG80" si="171">AG57+AG64+AG79+AG70</f>
        <v>19239.666666666668</v>
      </c>
      <c r="AH80" s="103">
        <f t="shared" ref="AH80" si="172">AH57+AH64+AH79+AH70</f>
        <v>19239.666666666668</v>
      </c>
      <c r="AI80" s="82">
        <f>SUM(W80:AH80)</f>
        <v>229604.99999999997</v>
      </c>
    </row>
    <row r="81" spans="2:35" x14ac:dyDescent="0.2">
      <c r="B81" s="86" t="s">
        <v>155</v>
      </c>
      <c r="C81" s="49"/>
      <c r="D81" s="98"/>
      <c r="E81" s="99"/>
      <c r="F81" s="103">
        <f t="shared" ref="F81:Q81" si="173">F48-F80</f>
        <v>-237593</v>
      </c>
      <c r="G81" s="103">
        <f t="shared" si="173"/>
        <v>-233793</v>
      </c>
      <c r="H81" s="103">
        <f t="shared" si="173"/>
        <v>-229993</v>
      </c>
      <c r="I81" s="103">
        <f t="shared" si="173"/>
        <v>-226193</v>
      </c>
      <c r="J81" s="103">
        <f t="shared" si="173"/>
        <v>-33643</v>
      </c>
      <c r="K81" s="103">
        <f t="shared" si="173"/>
        <v>-40429.666666666672</v>
      </c>
      <c r="L81" s="103">
        <f t="shared" si="173"/>
        <v>-36629.666666666672</v>
      </c>
      <c r="M81" s="103">
        <f t="shared" si="173"/>
        <v>-858.66666666666788</v>
      </c>
      <c r="N81" s="103">
        <f t="shared" si="173"/>
        <v>2941.3333333333321</v>
      </c>
      <c r="O81" s="103">
        <f t="shared" si="173"/>
        <v>6741.3333333333321</v>
      </c>
      <c r="P81" s="103">
        <f t="shared" si="173"/>
        <v>10541.333333333332</v>
      </c>
      <c r="Q81" s="104">
        <f t="shared" si="173"/>
        <v>14341.333333333332</v>
      </c>
      <c r="R81" s="82">
        <f t="shared" si="157"/>
        <v>-1004567.6666666664</v>
      </c>
      <c r="T81" s="49"/>
      <c r="U81" s="98"/>
      <c r="V81" s="99"/>
      <c r="W81" s="103">
        <f t="shared" ref="W81:AH81" si="174">W48-W80</f>
        <v>20015.333333333332</v>
      </c>
      <c r="X81" s="103">
        <f t="shared" si="174"/>
        <v>23100.333333333332</v>
      </c>
      <c r="Y81" s="103">
        <f t="shared" si="174"/>
        <v>27225.333333333332</v>
      </c>
      <c r="Z81" s="103">
        <f t="shared" si="174"/>
        <v>31350.333333333332</v>
      </c>
      <c r="AA81" s="103">
        <f t="shared" si="174"/>
        <v>35475.333333333328</v>
      </c>
      <c r="AB81" s="103">
        <f t="shared" si="174"/>
        <v>39600.333333333328</v>
      </c>
      <c r="AC81" s="103">
        <f t="shared" si="174"/>
        <v>43725.333333333328</v>
      </c>
      <c r="AD81" s="103">
        <f t="shared" si="174"/>
        <v>47817.333333333328</v>
      </c>
      <c r="AE81" s="103">
        <f t="shared" si="174"/>
        <v>51942.333333333328</v>
      </c>
      <c r="AF81" s="103">
        <f t="shared" si="174"/>
        <v>56067.333333333328</v>
      </c>
      <c r="AG81" s="103">
        <f t="shared" si="174"/>
        <v>60192.333333333328</v>
      </c>
      <c r="AH81" s="104">
        <f t="shared" si="174"/>
        <v>64317.333333333328</v>
      </c>
      <c r="AI81" s="82">
        <f t="shared" ref="AI81" si="175">SUM(W81:AH81)</f>
        <v>500828.99999999988</v>
      </c>
    </row>
    <row r="82" spans="2:35" x14ac:dyDescent="0.2">
      <c r="B82" s="102" t="s">
        <v>156</v>
      </c>
      <c r="C82" s="49"/>
      <c r="D82" s="98"/>
      <c r="E82" s="99"/>
      <c r="F82" s="130">
        <f t="shared" ref="F82:R82" si="176">F81/F41</f>
        <v>-62.524473684210527</v>
      </c>
      <c r="G82" s="130">
        <f t="shared" si="176"/>
        <v>-30.762236842105263</v>
      </c>
      <c r="H82" s="130">
        <f t="shared" si="176"/>
        <v>-20.174824561403508</v>
      </c>
      <c r="I82" s="130">
        <f t="shared" si="176"/>
        <v>-14.881118421052632</v>
      </c>
      <c r="J82" s="130">
        <f t="shared" si="176"/>
        <v>-1.0680317460317461</v>
      </c>
      <c r="K82" s="130">
        <f t="shared" si="176"/>
        <v>-1.1453163361661947</v>
      </c>
      <c r="L82" s="130">
        <f t="shared" si="176"/>
        <v>-0.93682011935208875</v>
      </c>
      <c r="M82" s="130">
        <f t="shared" si="176"/>
        <v>-2.0015540015540043E-2</v>
      </c>
      <c r="N82" s="130">
        <f t="shared" si="176"/>
        <v>6.2983583154889333E-2</v>
      </c>
      <c r="O82" s="130">
        <f t="shared" si="176"/>
        <v>0.13349174917491746</v>
      </c>
      <c r="P82" s="130">
        <f t="shared" si="176"/>
        <v>0.19413136893799876</v>
      </c>
      <c r="Q82" s="131">
        <f t="shared" si="176"/>
        <v>0.24683878370625356</v>
      </c>
      <c r="R82" s="132">
        <f t="shared" si="176"/>
        <v>-2.5342272115708031</v>
      </c>
      <c r="T82" s="49"/>
      <c r="U82" s="98"/>
      <c r="V82" s="99"/>
      <c r="W82" s="130">
        <f t="shared" ref="W82:AI82" si="177">W81/W41</f>
        <v>0.30268935097668553</v>
      </c>
      <c r="X82" s="130">
        <f t="shared" si="177"/>
        <v>0.32883036773428231</v>
      </c>
      <c r="Y82" s="130">
        <f t="shared" si="177"/>
        <v>0.36605490196078427</v>
      </c>
      <c r="Z82" s="130">
        <f t="shared" si="177"/>
        <v>0.39936730360934181</v>
      </c>
      <c r="AA82" s="130">
        <f t="shared" si="177"/>
        <v>0.4293535047907211</v>
      </c>
      <c r="AB82" s="130">
        <f t="shared" si="177"/>
        <v>0.45648799231508158</v>
      </c>
      <c r="AC82" s="130">
        <f t="shared" si="177"/>
        <v>0.48115910132966522</v>
      </c>
      <c r="AD82" s="130">
        <f t="shared" si="177"/>
        <v>0.50334035087719298</v>
      </c>
      <c r="AE82" s="130">
        <f t="shared" si="177"/>
        <v>0.5240084068936528</v>
      </c>
      <c r="AF82" s="130">
        <f t="shared" si="177"/>
        <v>0.54302502017756249</v>
      </c>
      <c r="AG82" s="130">
        <f t="shared" si="177"/>
        <v>0.560580519984478</v>
      </c>
      <c r="AH82" s="131">
        <f t="shared" si="177"/>
        <v>0.57683707025411057</v>
      </c>
      <c r="AI82" s="132">
        <f t="shared" si="177"/>
        <v>0.46993103448275853</v>
      </c>
    </row>
    <row r="83" spans="2:35" x14ac:dyDescent="0.2">
      <c r="B83" s="86" t="s">
        <v>157</v>
      </c>
      <c r="C83" s="49" t="s">
        <v>158</v>
      </c>
      <c r="D83" s="133">
        <v>1E-3</v>
      </c>
      <c r="E83" s="296"/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28">
        <v>0</v>
      </c>
      <c r="P83" s="128">
        <v>0</v>
      </c>
      <c r="Q83" s="128">
        <v>0</v>
      </c>
      <c r="R83" s="64">
        <f>SUM(F83:Q83)</f>
        <v>0</v>
      </c>
      <c r="T83" s="49" t="s">
        <v>158</v>
      </c>
      <c r="U83" s="133">
        <v>1E-3</v>
      </c>
      <c r="V83" s="296"/>
      <c r="W83" s="128">
        <v>0</v>
      </c>
      <c r="X83" s="128">
        <v>0</v>
      </c>
      <c r="Y83" s="128">
        <v>0</v>
      </c>
      <c r="Z83" s="128">
        <v>0</v>
      </c>
      <c r="AA83" s="128">
        <v>0</v>
      </c>
      <c r="AB83" s="128">
        <v>0</v>
      </c>
      <c r="AC83" s="128">
        <v>0</v>
      </c>
      <c r="AD83" s="128">
        <v>0</v>
      </c>
      <c r="AE83" s="128">
        <v>0</v>
      </c>
      <c r="AF83" s="128">
        <v>0</v>
      </c>
      <c r="AG83" s="128">
        <v>0</v>
      </c>
      <c r="AH83" s="128">
        <v>0</v>
      </c>
      <c r="AI83" s="64">
        <f>SUM(W83:AH83)</f>
        <v>0</v>
      </c>
    </row>
    <row r="84" spans="2:35" x14ac:dyDescent="0.2">
      <c r="B84" s="90" t="s">
        <v>159</v>
      </c>
      <c r="C84" s="91"/>
      <c r="D84" s="92"/>
      <c r="E84" s="297"/>
      <c r="F84" s="94">
        <f>F81+F83</f>
        <v>-237593</v>
      </c>
      <c r="G84" s="94">
        <f t="shared" ref="G84:Q84" si="178">G81+G83</f>
        <v>-233793</v>
      </c>
      <c r="H84" s="94">
        <f t="shared" si="178"/>
        <v>-229993</v>
      </c>
      <c r="I84" s="94">
        <f t="shared" si="178"/>
        <v>-226193</v>
      </c>
      <c r="J84" s="94">
        <f t="shared" si="178"/>
        <v>-33643</v>
      </c>
      <c r="K84" s="94">
        <f t="shared" si="178"/>
        <v>-40429.666666666672</v>
      </c>
      <c r="L84" s="94">
        <f t="shared" si="178"/>
        <v>-36629.666666666672</v>
      </c>
      <c r="M84" s="94">
        <f t="shared" si="178"/>
        <v>-858.66666666666788</v>
      </c>
      <c r="N84" s="94">
        <f t="shared" si="178"/>
        <v>2941.3333333333321</v>
      </c>
      <c r="O84" s="94">
        <f t="shared" si="178"/>
        <v>6741.3333333333321</v>
      </c>
      <c r="P84" s="94">
        <f t="shared" si="178"/>
        <v>10541.333333333332</v>
      </c>
      <c r="Q84" s="95">
        <f t="shared" si="178"/>
        <v>14341.333333333332</v>
      </c>
      <c r="R84" s="63">
        <f>SUM(F84:Q84)</f>
        <v>-1004567.6666666664</v>
      </c>
      <c r="T84" s="91"/>
      <c r="U84" s="92"/>
      <c r="V84" s="297"/>
      <c r="W84" s="94">
        <f>W81+W83</f>
        <v>20015.333333333332</v>
      </c>
      <c r="X84" s="94">
        <f t="shared" ref="X84:AH84" si="179">X81+X83</f>
        <v>23100.333333333332</v>
      </c>
      <c r="Y84" s="94">
        <f t="shared" si="179"/>
        <v>27225.333333333332</v>
      </c>
      <c r="Z84" s="94">
        <f t="shared" si="179"/>
        <v>31350.333333333332</v>
      </c>
      <c r="AA84" s="94">
        <f t="shared" si="179"/>
        <v>35475.333333333328</v>
      </c>
      <c r="AB84" s="94">
        <f t="shared" si="179"/>
        <v>39600.333333333328</v>
      </c>
      <c r="AC84" s="94">
        <f t="shared" si="179"/>
        <v>43725.333333333328</v>
      </c>
      <c r="AD84" s="94">
        <f t="shared" si="179"/>
        <v>47817.333333333328</v>
      </c>
      <c r="AE84" s="94">
        <f t="shared" si="179"/>
        <v>51942.333333333328</v>
      </c>
      <c r="AF84" s="94">
        <f t="shared" si="179"/>
        <v>56067.333333333328</v>
      </c>
      <c r="AG84" s="94">
        <f t="shared" si="179"/>
        <v>60192.333333333328</v>
      </c>
      <c r="AH84" s="95">
        <f t="shared" si="179"/>
        <v>64317.333333333328</v>
      </c>
      <c r="AI84" s="63">
        <f>SUM(W84:AH84)</f>
        <v>500828.99999999988</v>
      </c>
    </row>
    <row r="85" spans="2:35" x14ac:dyDescent="0.2">
      <c r="B85" s="134"/>
      <c r="C85" s="96"/>
      <c r="D85" s="97"/>
      <c r="E85" s="43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53"/>
      <c r="T85" s="96"/>
      <c r="U85" s="97"/>
      <c r="V85" s="43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53"/>
    </row>
    <row r="86" spans="2:35" x14ac:dyDescent="0.2">
      <c r="B86" s="86"/>
      <c r="C86" s="49"/>
      <c r="D86" s="98"/>
      <c r="E86" s="99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5"/>
      <c r="T86" s="49"/>
      <c r="U86" s="98"/>
      <c r="V86" s="99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5"/>
    </row>
    <row r="87" spans="2:35" x14ac:dyDescent="0.2">
      <c r="B87" s="48" t="s">
        <v>160</v>
      </c>
      <c r="C87" s="49"/>
      <c r="D87" s="98"/>
      <c r="E87" s="99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5"/>
      <c r="T87" s="49"/>
      <c r="U87" s="98"/>
      <c r="V87" s="99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5"/>
    </row>
    <row r="88" spans="2:35" x14ac:dyDescent="0.2">
      <c r="B88" s="86" t="s">
        <v>161</v>
      </c>
      <c r="C88" s="49"/>
      <c r="D88" s="98"/>
      <c r="E88" s="99"/>
      <c r="F88" s="294">
        <f>F122</f>
        <v>869807</v>
      </c>
      <c r="G88" s="135">
        <f t="shared" ref="G88:Q88" si="180">G122</f>
        <v>634114</v>
      </c>
      <c r="H88" s="135">
        <f t="shared" si="180"/>
        <v>402221</v>
      </c>
      <c r="I88" s="135">
        <f t="shared" si="180"/>
        <v>174128</v>
      </c>
      <c r="J88" s="135">
        <f t="shared" si="180"/>
        <v>132335</v>
      </c>
      <c r="K88" s="135">
        <f t="shared" si="180"/>
        <v>92652</v>
      </c>
      <c r="L88" s="135">
        <f t="shared" si="180"/>
        <v>54122.333333333328</v>
      </c>
      <c r="M88" s="135">
        <f t="shared" si="180"/>
        <v>43370.916666666657</v>
      </c>
      <c r="N88" s="135">
        <f t="shared" si="180"/>
        <v>44412.249999999985</v>
      </c>
      <c r="O88" s="135">
        <f t="shared" si="180"/>
        <v>49253.583333333314</v>
      </c>
      <c r="P88" s="135">
        <f t="shared" si="180"/>
        <v>57894.916666666642</v>
      </c>
      <c r="Q88" s="135">
        <f t="shared" si="180"/>
        <v>70336.249999999971</v>
      </c>
      <c r="R88" s="136">
        <f>Q88</f>
        <v>70336.249999999971</v>
      </c>
      <c r="T88" s="49"/>
      <c r="U88" s="98"/>
      <c r="V88" s="99"/>
      <c r="W88" s="294">
        <f>W122</f>
        <v>61830.749999999971</v>
      </c>
      <c r="X88" s="135">
        <f t="shared" ref="X88:AH88" si="181">X122</f>
        <v>83128.583333333299</v>
      </c>
      <c r="Y88" s="135">
        <f t="shared" si="181"/>
        <v>108291.41666666663</v>
      </c>
      <c r="Z88" s="135">
        <f t="shared" si="181"/>
        <v>137579.24999999997</v>
      </c>
      <c r="AA88" s="135">
        <f t="shared" si="181"/>
        <v>170992.08333333331</v>
      </c>
      <c r="AB88" s="135">
        <f t="shared" si="181"/>
        <v>208529.91666666663</v>
      </c>
      <c r="AC88" s="135">
        <f t="shared" si="181"/>
        <v>250192.74999999994</v>
      </c>
      <c r="AD88" s="135">
        <f t="shared" si="181"/>
        <v>295955.83333333326</v>
      </c>
      <c r="AE88" s="135">
        <f t="shared" si="181"/>
        <v>345835.66666666657</v>
      </c>
      <c r="AF88" s="135">
        <f t="shared" si="181"/>
        <v>399840.49999999988</v>
      </c>
      <c r="AG88" s="135">
        <f t="shared" si="181"/>
        <v>457970.3333333332</v>
      </c>
      <c r="AH88" s="135">
        <f t="shared" si="181"/>
        <v>520225.16666666651</v>
      </c>
      <c r="AI88" s="136">
        <f>AH88</f>
        <v>520225.16666666651</v>
      </c>
    </row>
    <row r="89" spans="2:35" outlineLevel="1" x14ac:dyDescent="0.2">
      <c r="B89" s="137" t="s">
        <v>162</v>
      </c>
      <c r="C89" s="49" t="s">
        <v>163</v>
      </c>
      <c r="D89" s="138">
        <v>0.5</v>
      </c>
      <c r="E89" s="126"/>
      <c r="F89" s="135">
        <f t="shared" ref="F89:Q89" si="182">$D89*(F41+F83)</f>
        <v>1900</v>
      </c>
      <c r="G89" s="135">
        <f t="shared" si="182"/>
        <v>3800</v>
      </c>
      <c r="H89" s="135">
        <f t="shared" si="182"/>
        <v>5700</v>
      </c>
      <c r="I89" s="135">
        <f t="shared" si="182"/>
        <v>7600</v>
      </c>
      <c r="J89" s="135">
        <f t="shared" si="182"/>
        <v>15750</v>
      </c>
      <c r="K89" s="135">
        <f t="shared" si="182"/>
        <v>17650</v>
      </c>
      <c r="L89" s="135">
        <f t="shared" si="182"/>
        <v>19550</v>
      </c>
      <c r="M89" s="135">
        <f t="shared" si="182"/>
        <v>21450</v>
      </c>
      <c r="N89" s="135">
        <f t="shared" si="182"/>
        <v>23350</v>
      </c>
      <c r="O89" s="135">
        <f t="shared" si="182"/>
        <v>25250</v>
      </c>
      <c r="P89" s="135">
        <f t="shared" si="182"/>
        <v>27150</v>
      </c>
      <c r="Q89" s="135">
        <f t="shared" si="182"/>
        <v>29050</v>
      </c>
      <c r="R89" s="136">
        <f>Q89</f>
        <v>29050</v>
      </c>
      <c r="T89" s="49" t="s">
        <v>163</v>
      </c>
      <c r="U89" s="138">
        <v>0.5</v>
      </c>
      <c r="V89" s="126"/>
      <c r="W89" s="135">
        <f t="shared" ref="W89:AH89" si="183">$D89*(W41+W83)</f>
        <v>33062.5</v>
      </c>
      <c r="X89" s="135">
        <f t="shared" si="183"/>
        <v>35125</v>
      </c>
      <c r="Y89" s="135">
        <f t="shared" si="183"/>
        <v>37187.5</v>
      </c>
      <c r="Z89" s="135">
        <f t="shared" si="183"/>
        <v>39250</v>
      </c>
      <c r="AA89" s="135">
        <f t="shared" si="183"/>
        <v>41312.5</v>
      </c>
      <c r="AB89" s="135">
        <f t="shared" si="183"/>
        <v>43375</v>
      </c>
      <c r="AC89" s="135">
        <f t="shared" si="183"/>
        <v>45437.5</v>
      </c>
      <c r="AD89" s="135">
        <f t="shared" si="183"/>
        <v>47500</v>
      </c>
      <c r="AE89" s="135">
        <f t="shared" si="183"/>
        <v>49562.5</v>
      </c>
      <c r="AF89" s="135">
        <f t="shared" si="183"/>
        <v>51625</v>
      </c>
      <c r="AG89" s="135">
        <f t="shared" si="183"/>
        <v>53687.5</v>
      </c>
      <c r="AH89" s="135">
        <f t="shared" si="183"/>
        <v>55750</v>
      </c>
      <c r="AI89" s="136">
        <f>AH89</f>
        <v>55750</v>
      </c>
    </row>
    <row r="90" spans="2:35" x14ac:dyDescent="0.2">
      <c r="B90" s="137" t="s">
        <v>164</v>
      </c>
      <c r="C90" s="49"/>
      <c r="D90" s="98"/>
      <c r="E90" s="99"/>
      <c r="F90" s="294">
        <f t="shared" ref="F90:Q90" si="184">F88+F89</f>
        <v>871707</v>
      </c>
      <c r="G90" s="135">
        <f t="shared" si="184"/>
        <v>637914</v>
      </c>
      <c r="H90" s="135">
        <f t="shared" si="184"/>
        <v>407921</v>
      </c>
      <c r="I90" s="135">
        <f t="shared" si="184"/>
        <v>181728</v>
      </c>
      <c r="J90" s="135">
        <f t="shared" si="184"/>
        <v>148085</v>
      </c>
      <c r="K90" s="135">
        <f t="shared" si="184"/>
        <v>110302</v>
      </c>
      <c r="L90" s="135">
        <f t="shared" si="184"/>
        <v>73672.333333333328</v>
      </c>
      <c r="M90" s="135">
        <f t="shared" si="184"/>
        <v>64820.916666666657</v>
      </c>
      <c r="N90" s="135">
        <f t="shared" si="184"/>
        <v>67762.249999999985</v>
      </c>
      <c r="O90" s="135">
        <f t="shared" si="184"/>
        <v>74503.583333333314</v>
      </c>
      <c r="P90" s="135">
        <f t="shared" si="184"/>
        <v>85044.916666666642</v>
      </c>
      <c r="Q90" s="135">
        <f t="shared" si="184"/>
        <v>99386.249999999971</v>
      </c>
      <c r="R90" s="136">
        <f>Q90</f>
        <v>99386.249999999971</v>
      </c>
      <c r="T90" s="49"/>
      <c r="U90" s="98"/>
      <c r="V90" s="99"/>
      <c r="W90" s="294">
        <f t="shared" ref="W90:AH90" si="185">W88+W89</f>
        <v>94893.249999999971</v>
      </c>
      <c r="X90" s="135">
        <f t="shared" si="185"/>
        <v>118253.5833333333</v>
      </c>
      <c r="Y90" s="135">
        <f t="shared" si="185"/>
        <v>145478.91666666663</v>
      </c>
      <c r="Z90" s="135">
        <f t="shared" si="185"/>
        <v>176829.24999999997</v>
      </c>
      <c r="AA90" s="135">
        <f t="shared" si="185"/>
        <v>212304.58333333331</v>
      </c>
      <c r="AB90" s="135">
        <f t="shared" si="185"/>
        <v>251904.91666666663</v>
      </c>
      <c r="AC90" s="135">
        <f t="shared" si="185"/>
        <v>295630.24999999994</v>
      </c>
      <c r="AD90" s="135">
        <f t="shared" si="185"/>
        <v>343455.83333333326</v>
      </c>
      <c r="AE90" s="135">
        <f t="shared" si="185"/>
        <v>395398.16666666657</v>
      </c>
      <c r="AF90" s="135">
        <f t="shared" si="185"/>
        <v>451465.49999999988</v>
      </c>
      <c r="AG90" s="135">
        <f t="shared" si="185"/>
        <v>511657.8333333332</v>
      </c>
      <c r="AH90" s="135">
        <f t="shared" si="185"/>
        <v>575975.16666666651</v>
      </c>
      <c r="AI90" s="136">
        <f>AH90</f>
        <v>575975.16666666651</v>
      </c>
    </row>
    <row r="91" spans="2:35" x14ac:dyDescent="0.2">
      <c r="B91" s="137" t="s">
        <v>165</v>
      </c>
      <c r="C91" s="49" t="s">
        <v>166</v>
      </c>
      <c r="D91" s="72">
        <v>30000</v>
      </c>
      <c r="E91" s="118"/>
      <c r="F91" s="294">
        <f>D91</f>
        <v>30000</v>
      </c>
      <c r="G91" s="135">
        <f>F91</f>
        <v>30000</v>
      </c>
      <c r="H91" s="135">
        <f>G91</f>
        <v>30000</v>
      </c>
      <c r="I91" s="135">
        <f t="shared" ref="I91:Q91" si="186">H91</f>
        <v>30000</v>
      </c>
      <c r="J91" s="135">
        <f t="shared" si="186"/>
        <v>30000</v>
      </c>
      <c r="K91" s="135">
        <f t="shared" si="186"/>
        <v>30000</v>
      </c>
      <c r="L91" s="135">
        <f t="shared" si="186"/>
        <v>30000</v>
      </c>
      <c r="M91" s="135">
        <f t="shared" si="186"/>
        <v>30000</v>
      </c>
      <c r="N91" s="135">
        <f t="shared" si="186"/>
        <v>30000</v>
      </c>
      <c r="O91" s="135">
        <f t="shared" si="186"/>
        <v>30000</v>
      </c>
      <c r="P91" s="135">
        <f t="shared" si="186"/>
        <v>30000</v>
      </c>
      <c r="Q91" s="135">
        <f t="shared" si="186"/>
        <v>30000</v>
      </c>
      <c r="R91" s="136">
        <f>Q91</f>
        <v>30000</v>
      </c>
      <c r="T91" s="49" t="s">
        <v>255</v>
      </c>
      <c r="U91" s="72">
        <f>R92</f>
        <v>129386.24999999997</v>
      </c>
      <c r="V91" s="118"/>
      <c r="W91" s="294">
        <f>U91</f>
        <v>129386.24999999997</v>
      </c>
      <c r="X91" s="135">
        <f>W91</f>
        <v>129386.24999999997</v>
      </c>
      <c r="Y91" s="135">
        <f>X91</f>
        <v>129386.24999999997</v>
      </c>
      <c r="Z91" s="135">
        <f t="shared" ref="Z91" si="187">Y91</f>
        <v>129386.24999999997</v>
      </c>
      <c r="AA91" s="135">
        <f t="shared" ref="AA91" si="188">Z91</f>
        <v>129386.24999999997</v>
      </c>
      <c r="AB91" s="135">
        <f t="shared" ref="AB91" si="189">AA91</f>
        <v>129386.24999999997</v>
      </c>
      <c r="AC91" s="135">
        <f t="shared" ref="AC91" si="190">AB91</f>
        <v>129386.24999999997</v>
      </c>
      <c r="AD91" s="135">
        <f t="shared" ref="AD91" si="191">AC91</f>
        <v>129386.24999999997</v>
      </c>
      <c r="AE91" s="135">
        <f t="shared" ref="AE91" si="192">AD91</f>
        <v>129386.24999999997</v>
      </c>
      <c r="AF91" s="135">
        <f t="shared" ref="AF91" si="193">AE91</f>
        <v>129386.24999999997</v>
      </c>
      <c r="AG91" s="135">
        <f t="shared" ref="AG91" si="194">AF91</f>
        <v>129386.24999999997</v>
      </c>
      <c r="AH91" s="135">
        <f t="shared" ref="AH91" si="195">AG91</f>
        <v>129386.24999999997</v>
      </c>
      <c r="AI91" s="136">
        <f>AH91</f>
        <v>129386.24999999997</v>
      </c>
    </row>
    <row r="92" spans="2:35" x14ac:dyDescent="0.2">
      <c r="B92" s="139" t="s">
        <v>167</v>
      </c>
      <c r="C92" s="91"/>
      <c r="D92" s="92"/>
      <c r="E92" s="297"/>
      <c r="F92" s="140">
        <f>F90+F91</f>
        <v>901707</v>
      </c>
      <c r="G92" s="140">
        <f>G90+G91</f>
        <v>667914</v>
      </c>
      <c r="H92" s="140">
        <f t="shared" ref="H92:Q92" si="196">H90+H91</f>
        <v>437921</v>
      </c>
      <c r="I92" s="140">
        <f t="shared" si="196"/>
        <v>211728</v>
      </c>
      <c r="J92" s="140">
        <f t="shared" si="196"/>
        <v>178085</v>
      </c>
      <c r="K92" s="140">
        <f t="shared" si="196"/>
        <v>140302</v>
      </c>
      <c r="L92" s="140">
        <f t="shared" si="196"/>
        <v>103672.33333333333</v>
      </c>
      <c r="M92" s="140">
        <f t="shared" si="196"/>
        <v>94820.916666666657</v>
      </c>
      <c r="N92" s="140">
        <f t="shared" si="196"/>
        <v>97762.249999999985</v>
      </c>
      <c r="O92" s="140">
        <f t="shared" si="196"/>
        <v>104503.58333333331</v>
      </c>
      <c r="P92" s="140">
        <f t="shared" si="196"/>
        <v>115044.91666666664</v>
      </c>
      <c r="Q92" s="140">
        <f t="shared" si="196"/>
        <v>129386.24999999997</v>
      </c>
      <c r="R92" s="141">
        <f>Q92</f>
        <v>129386.24999999997</v>
      </c>
      <c r="T92" s="91"/>
      <c r="U92" s="92"/>
      <c r="V92" s="297"/>
      <c r="W92" s="140">
        <f>W90+W91</f>
        <v>224279.49999999994</v>
      </c>
      <c r="X92" s="140">
        <f>X90+X91</f>
        <v>247639.83333333326</v>
      </c>
      <c r="Y92" s="140">
        <f t="shared" ref="Y92:AH92" si="197">Y90+Y91</f>
        <v>274865.16666666663</v>
      </c>
      <c r="Z92" s="140">
        <f t="shared" si="197"/>
        <v>306215.49999999994</v>
      </c>
      <c r="AA92" s="140">
        <f t="shared" si="197"/>
        <v>341690.83333333326</v>
      </c>
      <c r="AB92" s="140">
        <f t="shared" si="197"/>
        <v>381291.16666666663</v>
      </c>
      <c r="AC92" s="140">
        <f t="shared" si="197"/>
        <v>425016.49999999988</v>
      </c>
      <c r="AD92" s="140">
        <f t="shared" si="197"/>
        <v>472842.08333333326</v>
      </c>
      <c r="AE92" s="140">
        <f t="shared" si="197"/>
        <v>524784.41666666651</v>
      </c>
      <c r="AF92" s="140">
        <f t="shared" si="197"/>
        <v>580851.74999999988</v>
      </c>
      <c r="AG92" s="140">
        <f t="shared" si="197"/>
        <v>641044.08333333314</v>
      </c>
      <c r="AH92" s="140">
        <f t="shared" si="197"/>
        <v>705361.41666666651</v>
      </c>
      <c r="AI92" s="141">
        <f>AH92</f>
        <v>705361.41666666651</v>
      </c>
    </row>
    <row r="93" spans="2:35" x14ac:dyDescent="0.2">
      <c r="B93" s="86"/>
      <c r="C93" s="49"/>
      <c r="D93" s="98"/>
      <c r="E93" s="99"/>
      <c r="F93" s="294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6"/>
      <c r="T93" s="49"/>
      <c r="U93" s="98"/>
      <c r="V93" s="99"/>
      <c r="W93" s="294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6"/>
    </row>
    <row r="94" spans="2:35" x14ac:dyDescent="0.2">
      <c r="B94" s="86" t="s">
        <v>168</v>
      </c>
      <c r="C94" s="49" t="s">
        <v>169</v>
      </c>
      <c r="D94" s="138">
        <v>0.25</v>
      </c>
      <c r="E94" s="126"/>
      <c r="F94" s="135">
        <f t="shared" ref="F94:Q94" si="198">$D94*F80</f>
        <v>9300</v>
      </c>
      <c r="G94" s="135">
        <f t="shared" si="198"/>
        <v>9300</v>
      </c>
      <c r="H94" s="135">
        <f t="shared" si="198"/>
        <v>9300</v>
      </c>
      <c r="I94" s="135">
        <f t="shared" si="198"/>
        <v>9300</v>
      </c>
      <c r="J94" s="135">
        <f t="shared" si="198"/>
        <v>9300</v>
      </c>
      <c r="K94" s="135">
        <f t="shared" si="198"/>
        <v>11946.666666666668</v>
      </c>
      <c r="L94" s="135">
        <f t="shared" si="198"/>
        <v>11946.666666666668</v>
      </c>
      <c r="M94" s="135">
        <f t="shared" si="198"/>
        <v>3953.916666666667</v>
      </c>
      <c r="N94" s="135">
        <f t="shared" si="198"/>
        <v>3953.916666666667</v>
      </c>
      <c r="O94" s="135">
        <f t="shared" si="198"/>
        <v>3953.916666666667</v>
      </c>
      <c r="P94" s="135">
        <f t="shared" si="198"/>
        <v>3953.916666666667</v>
      </c>
      <c r="Q94" s="135">
        <f t="shared" si="198"/>
        <v>3953.916666666667</v>
      </c>
      <c r="R94" s="136">
        <f>Q94</f>
        <v>3953.916666666667</v>
      </c>
      <c r="T94" s="49" t="s">
        <v>169</v>
      </c>
      <c r="U94" s="138">
        <v>0.25</v>
      </c>
      <c r="V94" s="126"/>
      <c r="W94" s="135">
        <f t="shared" ref="W94:AH94" si="199">$D94*W80</f>
        <v>4541.666666666667</v>
      </c>
      <c r="X94" s="135">
        <f t="shared" si="199"/>
        <v>4801.666666666667</v>
      </c>
      <c r="Y94" s="135">
        <f t="shared" si="199"/>
        <v>4801.666666666667</v>
      </c>
      <c r="Z94" s="135">
        <f t="shared" si="199"/>
        <v>4801.666666666667</v>
      </c>
      <c r="AA94" s="135">
        <f t="shared" si="199"/>
        <v>4801.666666666667</v>
      </c>
      <c r="AB94" s="135">
        <f t="shared" si="199"/>
        <v>4801.666666666667</v>
      </c>
      <c r="AC94" s="135">
        <f t="shared" si="199"/>
        <v>4801.666666666667</v>
      </c>
      <c r="AD94" s="135">
        <f t="shared" si="199"/>
        <v>4809.916666666667</v>
      </c>
      <c r="AE94" s="135">
        <f t="shared" si="199"/>
        <v>4809.916666666667</v>
      </c>
      <c r="AF94" s="135">
        <f t="shared" si="199"/>
        <v>4809.916666666667</v>
      </c>
      <c r="AG94" s="135">
        <f t="shared" si="199"/>
        <v>4809.916666666667</v>
      </c>
      <c r="AH94" s="135">
        <f t="shared" si="199"/>
        <v>4809.916666666667</v>
      </c>
      <c r="AI94" s="136">
        <f>AH94</f>
        <v>4809.916666666667</v>
      </c>
    </row>
    <row r="95" spans="2:35" x14ac:dyDescent="0.2">
      <c r="B95" s="86" t="s">
        <v>170</v>
      </c>
      <c r="C95" s="49" t="s">
        <v>166</v>
      </c>
      <c r="D95" s="72">
        <v>30000</v>
      </c>
      <c r="E95" s="118"/>
      <c r="F95" s="294">
        <f>D95</f>
        <v>30000</v>
      </c>
      <c r="G95" s="135">
        <f t="shared" ref="G95:R96" si="200">F95</f>
        <v>30000</v>
      </c>
      <c r="H95" s="135">
        <f t="shared" si="200"/>
        <v>30000</v>
      </c>
      <c r="I95" s="135">
        <f t="shared" si="200"/>
        <v>30000</v>
      </c>
      <c r="J95" s="135">
        <f t="shared" si="200"/>
        <v>30000</v>
      </c>
      <c r="K95" s="135">
        <f t="shared" si="200"/>
        <v>30000</v>
      </c>
      <c r="L95" s="135">
        <f t="shared" si="200"/>
        <v>30000</v>
      </c>
      <c r="M95" s="135">
        <f t="shared" si="200"/>
        <v>30000</v>
      </c>
      <c r="N95" s="135">
        <f t="shared" si="200"/>
        <v>30000</v>
      </c>
      <c r="O95" s="135">
        <f t="shared" si="200"/>
        <v>30000</v>
      </c>
      <c r="P95" s="135">
        <f t="shared" si="200"/>
        <v>30000</v>
      </c>
      <c r="Q95" s="135">
        <f t="shared" si="200"/>
        <v>30000</v>
      </c>
      <c r="R95" s="136">
        <f t="shared" si="200"/>
        <v>30000</v>
      </c>
      <c r="T95" s="49" t="s">
        <v>255</v>
      </c>
      <c r="U95" s="72">
        <f>R96</f>
        <v>33953.916666666664</v>
      </c>
      <c r="V95" s="118"/>
      <c r="W95" s="294">
        <f>U95</f>
        <v>33953.916666666664</v>
      </c>
      <c r="X95" s="135">
        <f t="shared" ref="X95" si="201">W95</f>
        <v>33953.916666666664</v>
      </c>
      <c r="Y95" s="135">
        <f t="shared" ref="Y95" si="202">X95</f>
        <v>33953.916666666664</v>
      </c>
      <c r="Z95" s="135">
        <f t="shared" ref="Z95" si="203">Y95</f>
        <v>33953.916666666664</v>
      </c>
      <c r="AA95" s="135">
        <f t="shared" ref="AA95" si="204">Z95</f>
        <v>33953.916666666664</v>
      </c>
      <c r="AB95" s="135">
        <f t="shared" ref="AB95" si="205">AA95</f>
        <v>33953.916666666664</v>
      </c>
      <c r="AC95" s="135">
        <f t="shared" ref="AC95" si="206">AB95</f>
        <v>33953.916666666664</v>
      </c>
      <c r="AD95" s="135">
        <f t="shared" ref="AD95" si="207">AC95</f>
        <v>33953.916666666664</v>
      </c>
      <c r="AE95" s="135">
        <f t="shared" ref="AE95" si="208">AD95</f>
        <v>33953.916666666664</v>
      </c>
      <c r="AF95" s="135">
        <f t="shared" ref="AF95" si="209">AE95</f>
        <v>33953.916666666664</v>
      </c>
      <c r="AG95" s="135">
        <f t="shared" ref="AG95" si="210">AF95</f>
        <v>33953.916666666664</v>
      </c>
      <c r="AH95" s="135">
        <f t="shared" ref="AH95" si="211">AG95</f>
        <v>33953.916666666664</v>
      </c>
      <c r="AI95" s="136">
        <f t="shared" ref="AI95:AI96" si="212">AH95</f>
        <v>33953.916666666664</v>
      </c>
    </row>
    <row r="96" spans="2:35" x14ac:dyDescent="0.2">
      <c r="B96" s="139" t="s">
        <v>171</v>
      </c>
      <c r="C96" s="91"/>
      <c r="D96" s="92"/>
      <c r="E96" s="297"/>
      <c r="F96" s="140">
        <f>F94+F95</f>
        <v>39300</v>
      </c>
      <c r="G96" s="140">
        <f>G94+G95</f>
        <v>39300</v>
      </c>
      <c r="H96" s="140">
        <f t="shared" ref="H96:Q96" si="213">H94+H95</f>
        <v>39300</v>
      </c>
      <c r="I96" s="140">
        <f t="shared" si="213"/>
        <v>39300</v>
      </c>
      <c r="J96" s="140">
        <f t="shared" si="213"/>
        <v>39300</v>
      </c>
      <c r="K96" s="140">
        <f t="shared" si="213"/>
        <v>41946.666666666672</v>
      </c>
      <c r="L96" s="140">
        <f t="shared" si="213"/>
        <v>41946.666666666672</v>
      </c>
      <c r="M96" s="140">
        <f t="shared" si="213"/>
        <v>33953.916666666664</v>
      </c>
      <c r="N96" s="140">
        <f t="shared" si="213"/>
        <v>33953.916666666664</v>
      </c>
      <c r="O96" s="140">
        <f t="shared" si="213"/>
        <v>33953.916666666664</v>
      </c>
      <c r="P96" s="140">
        <f t="shared" si="213"/>
        <v>33953.916666666664</v>
      </c>
      <c r="Q96" s="140">
        <f t="shared" si="213"/>
        <v>33953.916666666664</v>
      </c>
      <c r="R96" s="141">
        <f t="shared" si="200"/>
        <v>33953.916666666664</v>
      </c>
      <c r="T96" s="91"/>
      <c r="U96" s="92"/>
      <c r="V96" s="297"/>
      <c r="W96" s="140">
        <f>W94+W95</f>
        <v>38495.583333333328</v>
      </c>
      <c r="X96" s="140">
        <f>X94+X95</f>
        <v>38755.583333333328</v>
      </c>
      <c r="Y96" s="140">
        <f t="shared" ref="Y96:AH96" si="214">Y94+Y95</f>
        <v>38755.583333333328</v>
      </c>
      <c r="Z96" s="140">
        <f t="shared" si="214"/>
        <v>38755.583333333328</v>
      </c>
      <c r="AA96" s="140">
        <f t="shared" si="214"/>
        <v>38755.583333333328</v>
      </c>
      <c r="AB96" s="140">
        <f t="shared" si="214"/>
        <v>38755.583333333328</v>
      </c>
      <c r="AC96" s="140">
        <f t="shared" si="214"/>
        <v>38755.583333333328</v>
      </c>
      <c r="AD96" s="140">
        <f t="shared" si="214"/>
        <v>38763.833333333328</v>
      </c>
      <c r="AE96" s="140">
        <f t="shared" si="214"/>
        <v>38763.833333333328</v>
      </c>
      <c r="AF96" s="140">
        <f t="shared" si="214"/>
        <v>38763.833333333328</v>
      </c>
      <c r="AG96" s="140">
        <f t="shared" si="214"/>
        <v>38763.833333333328</v>
      </c>
      <c r="AH96" s="140">
        <f t="shared" si="214"/>
        <v>38763.833333333328</v>
      </c>
      <c r="AI96" s="141">
        <f t="shared" si="212"/>
        <v>38763.833333333328</v>
      </c>
    </row>
    <row r="97" spans="2:35" x14ac:dyDescent="0.2">
      <c r="B97" s="86"/>
      <c r="C97" s="49"/>
      <c r="D97" s="98"/>
      <c r="E97" s="99"/>
      <c r="F97" s="294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6"/>
      <c r="T97" s="49"/>
      <c r="U97" s="98"/>
      <c r="V97" s="99"/>
      <c r="W97" s="294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6"/>
    </row>
    <row r="98" spans="2:35" x14ac:dyDescent="0.2">
      <c r="B98" s="137" t="s">
        <v>172</v>
      </c>
      <c r="C98" s="49" t="s">
        <v>166</v>
      </c>
      <c r="D98" s="72">
        <v>0</v>
      </c>
      <c r="E98" s="118"/>
      <c r="F98" s="294">
        <f>D98+F114</f>
        <v>0</v>
      </c>
      <c r="G98" s="135">
        <f>F98+G114</f>
        <v>0</v>
      </c>
      <c r="H98" s="135">
        <f t="shared" ref="H98:Q98" si="215">G98+H114</f>
        <v>0</v>
      </c>
      <c r="I98" s="135">
        <f t="shared" si="215"/>
        <v>0</v>
      </c>
      <c r="J98" s="135">
        <f t="shared" si="215"/>
        <v>0</v>
      </c>
      <c r="K98" s="135">
        <f t="shared" si="215"/>
        <v>0</v>
      </c>
      <c r="L98" s="135">
        <f t="shared" si="215"/>
        <v>0</v>
      </c>
      <c r="M98" s="135">
        <f t="shared" si="215"/>
        <v>0</v>
      </c>
      <c r="N98" s="135">
        <f t="shared" si="215"/>
        <v>0</v>
      </c>
      <c r="O98" s="135">
        <f t="shared" si="215"/>
        <v>0</v>
      </c>
      <c r="P98" s="135">
        <f t="shared" si="215"/>
        <v>0</v>
      </c>
      <c r="Q98" s="135">
        <f t="shared" si="215"/>
        <v>0</v>
      </c>
      <c r="R98" s="136">
        <f>Q98</f>
        <v>0</v>
      </c>
      <c r="T98" s="49" t="s">
        <v>255</v>
      </c>
      <c r="U98" s="72">
        <v>0</v>
      </c>
      <c r="V98" s="118"/>
      <c r="W98" s="294">
        <f>U98+W114</f>
        <v>0</v>
      </c>
      <c r="X98" s="135">
        <f>W98+X114</f>
        <v>0</v>
      </c>
      <c r="Y98" s="135">
        <f t="shared" ref="Y98" si="216">X98+Y114</f>
        <v>0</v>
      </c>
      <c r="Z98" s="135">
        <f t="shared" ref="Z98" si="217">Y98+Z114</f>
        <v>0</v>
      </c>
      <c r="AA98" s="135">
        <f t="shared" ref="AA98" si="218">Z98+AA114</f>
        <v>0</v>
      </c>
      <c r="AB98" s="135">
        <f t="shared" ref="AB98" si="219">AA98+AB114</f>
        <v>0</v>
      </c>
      <c r="AC98" s="135">
        <f t="shared" ref="AC98" si="220">AB98+AC114</f>
        <v>0</v>
      </c>
      <c r="AD98" s="135">
        <f t="shared" ref="AD98" si="221">AC98+AD114</f>
        <v>0</v>
      </c>
      <c r="AE98" s="135">
        <f t="shared" ref="AE98" si="222">AD98+AE114</f>
        <v>0</v>
      </c>
      <c r="AF98" s="135">
        <f t="shared" ref="AF98" si="223">AE98+AF114</f>
        <v>0</v>
      </c>
      <c r="AG98" s="135">
        <f t="shared" ref="AG98" si="224">AF98+AG114</f>
        <v>0</v>
      </c>
      <c r="AH98" s="135">
        <f t="shared" ref="AH98" si="225">AG98+AH114</f>
        <v>0</v>
      </c>
      <c r="AI98" s="136">
        <f>AH98</f>
        <v>0</v>
      </c>
    </row>
    <row r="99" spans="2:35" x14ac:dyDescent="0.2">
      <c r="B99" s="137" t="s">
        <v>173</v>
      </c>
      <c r="C99" s="49" t="s">
        <v>166</v>
      </c>
      <c r="D99" s="72">
        <v>0</v>
      </c>
      <c r="E99" s="118"/>
      <c r="F99" s="294">
        <f>D99+F84</f>
        <v>-237593</v>
      </c>
      <c r="G99" s="135">
        <f t="shared" ref="G99:P99" si="226">F99+G84</f>
        <v>-471386</v>
      </c>
      <c r="H99" s="135">
        <f t="shared" si="226"/>
        <v>-701379</v>
      </c>
      <c r="I99" s="135">
        <f t="shared" si="226"/>
        <v>-927572</v>
      </c>
      <c r="J99" s="135">
        <f t="shared" si="226"/>
        <v>-961215</v>
      </c>
      <c r="K99" s="135">
        <f t="shared" si="226"/>
        <v>-1001644.6666666666</v>
      </c>
      <c r="L99" s="135">
        <f t="shared" si="226"/>
        <v>-1038274.3333333333</v>
      </c>
      <c r="M99" s="135">
        <f t="shared" si="226"/>
        <v>-1039132.9999999999</v>
      </c>
      <c r="N99" s="135">
        <f t="shared" si="226"/>
        <v>-1036191.6666666665</v>
      </c>
      <c r="O99" s="135">
        <f t="shared" si="226"/>
        <v>-1029450.3333333331</v>
      </c>
      <c r="P99" s="135">
        <f t="shared" si="226"/>
        <v>-1018908.9999999998</v>
      </c>
      <c r="Q99" s="135">
        <f>P99+Q84</f>
        <v>-1004567.6666666664</v>
      </c>
      <c r="R99" s="136">
        <f>Q99</f>
        <v>-1004567.6666666664</v>
      </c>
      <c r="T99" s="49" t="s">
        <v>255</v>
      </c>
      <c r="U99" s="72">
        <v>0</v>
      </c>
      <c r="V99" s="118"/>
      <c r="W99" s="294">
        <f>U99+W84</f>
        <v>20015.333333333332</v>
      </c>
      <c r="X99" s="135">
        <f t="shared" ref="X99" si="227">W99+X84</f>
        <v>43115.666666666664</v>
      </c>
      <c r="Y99" s="135">
        <f t="shared" ref="Y99" si="228">X99+Y84</f>
        <v>70341</v>
      </c>
      <c r="Z99" s="135">
        <f t="shared" ref="Z99" si="229">Y99+Z84</f>
        <v>101691.33333333333</v>
      </c>
      <c r="AA99" s="135">
        <f t="shared" ref="AA99" si="230">Z99+AA84</f>
        <v>137166.66666666666</v>
      </c>
      <c r="AB99" s="135">
        <f t="shared" ref="AB99" si="231">AA99+AB84</f>
        <v>176767</v>
      </c>
      <c r="AC99" s="135">
        <f t="shared" ref="AC99" si="232">AB99+AC84</f>
        <v>220492.33333333331</v>
      </c>
      <c r="AD99" s="135">
        <f t="shared" ref="AD99" si="233">AC99+AD84</f>
        <v>268309.66666666663</v>
      </c>
      <c r="AE99" s="135">
        <f t="shared" ref="AE99" si="234">AD99+AE84</f>
        <v>320251.99999999994</v>
      </c>
      <c r="AF99" s="135">
        <f t="shared" ref="AF99" si="235">AE99+AF84</f>
        <v>376319.33333333326</v>
      </c>
      <c r="AG99" s="135">
        <f t="shared" ref="AG99" si="236">AF99+AG84</f>
        <v>436511.66666666657</v>
      </c>
      <c r="AH99" s="135">
        <f>AG99+AH84</f>
        <v>500828.99999999988</v>
      </c>
      <c r="AI99" s="136">
        <f>AH99</f>
        <v>500828.99999999988</v>
      </c>
    </row>
    <row r="100" spans="2:35" x14ac:dyDescent="0.2">
      <c r="B100" s="139" t="s">
        <v>174</v>
      </c>
      <c r="C100" s="91"/>
      <c r="D100" s="92"/>
      <c r="E100" s="297"/>
      <c r="F100" s="140">
        <f t="shared" ref="F100:Q100" si="237">F98+F99</f>
        <v>-237593</v>
      </c>
      <c r="G100" s="140">
        <f t="shared" si="237"/>
        <v>-471386</v>
      </c>
      <c r="H100" s="140">
        <f t="shared" si="237"/>
        <v>-701379</v>
      </c>
      <c r="I100" s="140">
        <f t="shared" si="237"/>
        <v>-927572</v>
      </c>
      <c r="J100" s="140">
        <f t="shared" si="237"/>
        <v>-961215</v>
      </c>
      <c r="K100" s="140">
        <f t="shared" si="237"/>
        <v>-1001644.6666666666</v>
      </c>
      <c r="L100" s="140">
        <f t="shared" si="237"/>
        <v>-1038274.3333333333</v>
      </c>
      <c r="M100" s="140">
        <f t="shared" si="237"/>
        <v>-1039132.9999999999</v>
      </c>
      <c r="N100" s="140">
        <f t="shared" si="237"/>
        <v>-1036191.6666666665</v>
      </c>
      <c r="O100" s="140">
        <f t="shared" si="237"/>
        <v>-1029450.3333333331</v>
      </c>
      <c r="P100" s="140">
        <f t="shared" si="237"/>
        <v>-1018908.9999999998</v>
      </c>
      <c r="Q100" s="140">
        <f t="shared" si="237"/>
        <v>-1004567.6666666664</v>
      </c>
      <c r="R100" s="141">
        <f>Q100</f>
        <v>-1004567.6666666664</v>
      </c>
      <c r="T100" s="91"/>
      <c r="U100" s="92"/>
      <c r="V100" s="297"/>
      <c r="W100" s="140">
        <f t="shared" ref="W100:AH100" si="238">W98+W99</f>
        <v>20015.333333333332</v>
      </c>
      <c r="X100" s="140">
        <f t="shared" si="238"/>
        <v>43115.666666666664</v>
      </c>
      <c r="Y100" s="140">
        <f t="shared" si="238"/>
        <v>70341</v>
      </c>
      <c r="Z100" s="140">
        <f t="shared" si="238"/>
        <v>101691.33333333333</v>
      </c>
      <c r="AA100" s="140">
        <f t="shared" si="238"/>
        <v>137166.66666666666</v>
      </c>
      <c r="AB100" s="140">
        <f t="shared" si="238"/>
        <v>176767</v>
      </c>
      <c r="AC100" s="140">
        <f t="shared" si="238"/>
        <v>220492.33333333331</v>
      </c>
      <c r="AD100" s="140">
        <f t="shared" si="238"/>
        <v>268309.66666666663</v>
      </c>
      <c r="AE100" s="140">
        <f t="shared" si="238"/>
        <v>320251.99999999994</v>
      </c>
      <c r="AF100" s="140">
        <f t="shared" si="238"/>
        <v>376319.33333333326</v>
      </c>
      <c r="AG100" s="140">
        <f t="shared" si="238"/>
        <v>436511.66666666657</v>
      </c>
      <c r="AH100" s="140">
        <f t="shared" si="238"/>
        <v>500828.99999999988</v>
      </c>
      <c r="AI100" s="141">
        <f>AH100</f>
        <v>500828.99999999988</v>
      </c>
    </row>
    <row r="101" spans="2:35" x14ac:dyDescent="0.2">
      <c r="B101" s="139" t="s">
        <v>175</v>
      </c>
      <c r="C101" s="91"/>
      <c r="D101" s="92"/>
      <c r="E101" s="297"/>
      <c r="F101" s="140">
        <f t="shared" ref="F101:Q101" si="239">F96+F100</f>
        <v>-198293</v>
      </c>
      <c r="G101" s="140">
        <f t="shared" si="239"/>
        <v>-432086</v>
      </c>
      <c r="H101" s="140">
        <f t="shared" si="239"/>
        <v>-662079</v>
      </c>
      <c r="I101" s="140">
        <f t="shared" si="239"/>
        <v>-888272</v>
      </c>
      <c r="J101" s="140">
        <f t="shared" si="239"/>
        <v>-921915</v>
      </c>
      <c r="K101" s="140">
        <f t="shared" si="239"/>
        <v>-959698</v>
      </c>
      <c r="L101" s="140">
        <f t="shared" si="239"/>
        <v>-996327.66666666663</v>
      </c>
      <c r="M101" s="140">
        <f t="shared" si="239"/>
        <v>-1005179.0833333333</v>
      </c>
      <c r="N101" s="140">
        <f t="shared" si="239"/>
        <v>-1002237.7499999999</v>
      </c>
      <c r="O101" s="140">
        <f t="shared" si="239"/>
        <v>-995496.41666666651</v>
      </c>
      <c r="P101" s="140">
        <f t="shared" si="239"/>
        <v>-984955.08333333314</v>
      </c>
      <c r="Q101" s="140">
        <f t="shared" si="239"/>
        <v>-970613.74999999977</v>
      </c>
      <c r="R101" s="141">
        <f>Q101</f>
        <v>-970613.74999999977</v>
      </c>
      <c r="T101" s="91"/>
      <c r="U101" s="92"/>
      <c r="V101" s="297"/>
      <c r="W101" s="140">
        <f t="shared" ref="W101:AH101" si="240">W96+W100</f>
        <v>58510.916666666657</v>
      </c>
      <c r="X101" s="140">
        <f t="shared" si="240"/>
        <v>81871.25</v>
      </c>
      <c r="Y101" s="140">
        <f t="shared" si="240"/>
        <v>109096.58333333333</v>
      </c>
      <c r="Z101" s="140">
        <f t="shared" si="240"/>
        <v>140446.91666666666</v>
      </c>
      <c r="AA101" s="140">
        <f t="shared" si="240"/>
        <v>175922.25</v>
      </c>
      <c r="AB101" s="140">
        <f t="shared" si="240"/>
        <v>215522.58333333331</v>
      </c>
      <c r="AC101" s="140">
        <f t="shared" si="240"/>
        <v>259247.91666666663</v>
      </c>
      <c r="AD101" s="140">
        <f t="shared" si="240"/>
        <v>307073.49999999994</v>
      </c>
      <c r="AE101" s="140">
        <f t="shared" si="240"/>
        <v>359015.83333333326</v>
      </c>
      <c r="AF101" s="140">
        <f t="shared" si="240"/>
        <v>415083.16666666657</v>
      </c>
      <c r="AG101" s="140">
        <f t="shared" si="240"/>
        <v>475275.49999999988</v>
      </c>
      <c r="AH101" s="140">
        <f t="shared" si="240"/>
        <v>539592.83333333326</v>
      </c>
      <c r="AI101" s="141">
        <f>AH101</f>
        <v>539592.83333333326</v>
      </c>
    </row>
    <row r="102" spans="2:35" x14ac:dyDescent="0.2">
      <c r="B102" s="142" t="s">
        <v>176</v>
      </c>
      <c r="C102" s="143"/>
      <c r="D102" s="144"/>
      <c r="E102" s="298"/>
      <c r="F102" s="145">
        <f>F101-F92</f>
        <v>-1100000</v>
      </c>
      <c r="G102" s="145">
        <f t="shared" ref="G102:Q102" si="241">G101-G92</f>
        <v>-1100000</v>
      </c>
      <c r="H102" s="145">
        <f t="shared" si="241"/>
        <v>-1100000</v>
      </c>
      <c r="I102" s="145">
        <f t="shared" si="241"/>
        <v>-1100000</v>
      </c>
      <c r="J102" s="145">
        <f t="shared" si="241"/>
        <v>-1100000</v>
      </c>
      <c r="K102" s="145">
        <f t="shared" si="241"/>
        <v>-1100000</v>
      </c>
      <c r="L102" s="145">
        <f t="shared" si="241"/>
        <v>-1100000</v>
      </c>
      <c r="M102" s="145">
        <f t="shared" si="241"/>
        <v>-1100000</v>
      </c>
      <c r="N102" s="145">
        <f t="shared" si="241"/>
        <v>-1099999.9999999998</v>
      </c>
      <c r="O102" s="145">
        <f t="shared" si="241"/>
        <v>-1099999.9999999998</v>
      </c>
      <c r="P102" s="145">
        <f t="shared" si="241"/>
        <v>-1099999.9999999998</v>
      </c>
      <c r="Q102" s="145">
        <f t="shared" si="241"/>
        <v>-1099999.9999999998</v>
      </c>
      <c r="R102" s="146">
        <f>Q102</f>
        <v>-1099999.9999999998</v>
      </c>
      <c r="T102" s="143"/>
      <c r="U102" s="144"/>
      <c r="V102" s="298"/>
      <c r="W102" s="145">
        <f>W101-W92</f>
        <v>-165768.58333333328</v>
      </c>
      <c r="X102" s="145">
        <f t="shared" ref="X102:AH102" si="242">X101-X92</f>
        <v>-165768.58333333326</v>
      </c>
      <c r="Y102" s="145">
        <f t="shared" si="242"/>
        <v>-165768.58333333331</v>
      </c>
      <c r="Z102" s="145">
        <f t="shared" si="242"/>
        <v>-165768.58333333328</v>
      </c>
      <c r="AA102" s="145">
        <f t="shared" si="242"/>
        <v>-165768.58333333326</v>
      </c>
      <c r="AB102" s="145">
        <f t="shared" si="242"/>
        <v>-165768.58333333331</v>
      </c>
      <c r="AC102" s="145">
        <f t="shared" si="242"/>
        <v>-165768.58333333326</v>
      </c>
      <c r="AD102" s="145">
        <f t="shared" si="242"/>
        <v>-165768.58333333331</v>
      </c>
      <c r="AE102" s="145">
        <f t="shared" si="242"/>
        <v>-165768.58333333326</v>
      </c>
      <c r="AF102" s="145">
        <f t="shared" si="242"/>
        <v>-165768.58333333331</v>
      </c>
      <c r="AG102" s="145">
        <f t="shared" si="242"/>
        <v>-165768.58333333326</v>
      </c>
      <c r="AH102" s="145">
        <f t="shared" si="242"/>
        <v>-165768.58333333326</v>
      </c>
      <c r="AI102" s="146">
        <f>AH102</f>
        <v>-165768.58333333326</v>
      </c>
    </row>
    <row r="103" spans="2:35" x14ac:dyDescent="0.2">
      <c r="B103" s="99"/>
      <c r="C103" s="49"/>
      <c r="D103" s="98"/>
      <c r="E103" s="99"/>
      <c r="F103" s="295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8"/>
      <c r="T103" s="49"/>
      <c r="U103" s="98"/>
      <c r="V103" s="99"/>
      <c r="W103" s="295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8"/>
    </row>
    <row r="104" spans="2:35" x14ac:dyDescent="0.2">
      <c r="B104" s="149" t="s">
        <v>177</v>
      </c>
      <c r="C104" s="49"/>
      <c r="D104" s="98"/>
      <c r="E104" s="99"/>
      <c r="F104" s="295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8"/>
      <c r="T104" s="49"/>
      <c r="U104" s="98"/>
      <c r="V104" s="99"/>
      <c r="W104" s="295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8"/>
    </row>
    <row r="105" spans="2:35" x14ac:dyDescent="0.2">
      <c r="B105" s="137" t="s">
        <v>159</v>
      </c>
      <c r="C105" s="49"/>
      <c r="D105" s="98"/>
      <c r="E105" s="99"/>
      <c r="F105" s="294">
        <f>F84</f>
        <v>-237593</v>
      </c>
      <c r="G105" s="135">
        <f t="shared" ref="G105:Q105" si="243">G84</f>
        <v>-233793</v>
      </c>
      <c r="H105" s="135">
        <f t="shared" si="243"/>
        <v>-229993</v>
      </c>
      <c r="I105" s="135">
        <f t="shared" si="243"/>
        <v>-226193</v>
      </c>
      <c r="J105" s="135">
        <f t="shared" si="243"/>
        <v>-33643</v>
      </c>
      <c r="K105" s="135">
        <f t="shared" si="243"/>
        <v>-40429.666666666672</v>
      </c>
      <c r="L105" s="135">
        <f t="shared" si="243"/>
        <v>-36629.666666666672</v>
      </c>
      <c r="M105" s="135">
        <f t="shared" si="243"/>
        <v>-858.66666666666788</v>
      </c>
      <c r="N105" s="135">
        <f t="shared" si="243"/>
        <v>2941.3333333333321</v>
      </c>
      <c r="O105" s="135">
        <f t="shared" si="243"/>
        <v>6741.3333333333321</v>
      </c>
      <c r="P105" s="135">
        <f t="shared" si="243"/>
        <v>10541.333333333332</v>
      </c>
      <c r="Q105" s="135">
        <f t="shared" si="243"/>
        <v>14341.333333333332</v>
      </c>
      <c r="R105" s="136"/>
      <c r="T105" s="49"/>
      <c r="U105" s="98"/>
      <c r="V105" s="99"/>
      <c r="W105" s="294">
        <f>W84</f>
        <v>20015.333333333332</v>
      </c>
      <c r="X105" s="135">
        <f t="shared" ref="X105:AH105" si="244">X84</f>
        <v>23100.333333333332</v>
      </c>
      <c r="Y105" s="135">
        <f t="shared" si="244"/>
        <v>27225.333333333332</v>
      </c>
      <c r="Z105" s="135">
        <f t="shared" si="244"/>
        <v>31350.333333333332</v>
      </c>
      <c r="AA105" s="135">
        <f t="shared" si="244"/>
        <v>35475.333333333328</v>
      </c>
      <c r="AB105" s="135">
        <f t="shared" si="244"/>
        <v>39600.333333333328</v>
      </c>
      <c r="AC105" s="135">
        <f t="shared" si="244"/>
        <v>43725.333333333328</v>
      </c>
      <c r="AD105" s="135">
        <f t="shared" si="244"/>
        <v>47817.333333333328</v>
      </c>
      <c r="AE105" s="135">
        <f t="shared" si="244"/>
        <v>51942.333333333328</v>
      </c>
      <c r="AF105" s="135">
        <f t="shared" si="244"/>
        <v>56067.333333333328</v>
      </c>
      <c r="AG105" s="135">
        <f t="shared" si="244"/>
        <v>60192.333333333328</v>
      </c>
      <c r="AH105" s="135">
        <f t="shared" si="244"/>
        <v>64317.333333333328</v>
      </c>
      <c r="AI105" s="136"/>
    </row>
    <row r="106" spans="2:35" x14ac:dyDescent="0.2">
      <c r="B106" s="137" t="s">
        <v>178</v>
      </c>
      <c r="C106" s="49"/>
      <c r="D106" s="98"/>
      <c r="E106" s="99"/>
      <c r="F106" s="135">
        <f>F94-F89</f>
        <v>7400</v>
      </c>
      <c r="G106" s="135">
        <f t="shared" ref="G106:Q106" si="245">F89-G89+G94-F94</f>
        <v>-1900</v>
      </c>
      <c r="H106" s="135">
        <f t="shared" si="245"/>
        <v>-1900</v>
      </c>
      <c r="I106" s="135">
        <f t="shared" si="245"/>
        <v>-1900</v>
      </c>
      <c r="J106" s="135">
        <f t="shared" si="245"/>
        <v>-8150</v>
      </c>
      <c r="K106" s="135">
        <f t="shared" si="245"/>
        <v>746.66666666666788</v>
      </c>
      <c r="L106" s="135">
        <f t="shared" si="245"/>
        <v>-1900</v>
      </c>
      <c r="M106" s="135">
        <f t="shared" si="245"/>
        <v>-9892.75</v>
      </c>
      <c r="N106" s="135">
        <f t="shared" si="245"/>
        <v>-1900</v>
      </c>
      <c r="O106" s="135">
        <f t="shared" si="245"/>
        <v>-1900</v>
      </c>
      <c r="P106" s="135">
        <f t="shared" si="245"/>
        <v>-1900</v>
      </c>
      <c r="Q106" s="135">
        <f t="shared" si="245"/>
        <v>-1900</v>
      </c>
      <c r="R106" s="136"/>
      <c r="T106" s="49"/>
      <c r="U106" s="98"/>
      <c r="V106" s="99"/>
      <c r="W106" s="135">
        <f>W94-W89</f>
        <v>-28520.833333333332</v>
      </c>
      <c r="X106" s="135">
        <f t="shared" ref="X106" si="246">W89-X89+X94-W94</f>
        <v>-1802.5</v>
      </c>
      <c r="Y106" s="135">
        <f t="shared" ref="Y106" si="247">X89-Y89+Y94-X94</f>
        <v>-2062.5</v>
      </c>
      <c r="Z106" s="135">
        <f t="shared" ref="Z106" si="248">Y89-Z89+Z94-Y94</f>
        <v>-2062.5</v>
      </c>
      <c r="AA106" s="135">
        <f t="shared" ref="AA106" si="249">Z89-AA89+AA94-Z94</f>
        <v>-2062.5</v>
      </c>
      <c r="AB106" s="135">
        <f t="shared" ref="AB106" si="250">AA89-AB89+AB94-AA94</f>
        <v>-2062.5</v>
      </c>
      <c r="AC106" s="135">
        <f t="shared" ref="AC106" si="251">AB89-AC89+AC94-AB94</f>
        <v>-2062.5</v>
      </c>
      <c r="AD106" s="135">
        <f t="shared" ref="AD106" si="252">AC89-AD89+AD94-AC94</f>
        <v>-2054.25</v>
      </c>
      <c r="AE106" s="135">
        <f t="shared" ref="AE106" si="253">AD89-AE89+AE94-AD94</f>
        <v>-2062.5</v>
      </c>
      <c r="AF106" s="135">
        <f t="shared" ref="AF106" si="254">AE89-AF89+AF94-AE94</f>
        <v>-2062.5</v>
      </c>
      <c r="AG106" s="135">
        <f t="shared" ref="AG106" si="255">AF89-AG89+AG94-AF94</f>
        <v>-2062.5</v>
      </c>
      <c r="AH106" s="135">
        <f t="shared" ref="AH106" si="256">AG89-AH89+AH94-AG94</f>
        <v>-2062.5</v>
      </c>
      <c r="AI106" s="136"/>
    </row>
    <row r="107" spans="2:35" x14ac:dyDescent="0.2">
      <c r="B107" s="137" t="s">
        <v>179</v>
      </c>
      <c r="C107" s="49"/>
      <c r="D107" s="98"/>
      <c r="E107" s="99"/>
      <c r="F107" s="294">
        <f>D91-F91+F95-D95</f>
        <v>0</v>
      </c>
      <c r="G107" s="135">
        <f t="shared" ref="G107:Q107" si="257">F91-G91+G95-F95</f>
        <v>0</v>
      </c>
      <c r="H107" s="135">
        <f t="shared" si="257"/>
        <v>0</v>
      </c>
      <c r="I107" s="135">
        <f t="shared" si="257"/>
        <v>0</v>
      </c>
      <c r="J107" s="135">
        <f t="shared" si="257"/>
        <v>0</v>
      </c>
      <c r="K107" s="135">
        <f t="shared" si="257"/>
        <v>0</v>
      </c>
      <c r="L107" s="135">
        <f t="shared" si="257"/>
        <v>0</v>
      </c>
      <c r="M107" s="135">
        <f t="shared" si="257"/>
        <v>0</v>
      </c>
      <c r="N107" s="135">
        <f t="shared" si="257"/>
        <v>0</v>
      </c>
      <c r="O107" s="135">
        <f t="shared" si="257"/>
        <v>0</v>
      </c>
      <c r="P107" s="135">
        <f t="shared" si="257"/>
        <v>0</v>
      </c>
      <c r="Q107" s="135">
        <f t="shared" si="257"/>
        <v>0</v>
      </c>
      <c r="R107" s="136"/>
      <c r="T107" s="49"/>
      <c r="U107" s="98"/>
      <c r="V107" s="99"/>
      <c r="W107" s="294">
        <f>U91-W91+W95-U95</f>
        <v>0</v>
      </c>
      <c r="X107" s="135">
        <f t="shared" ref="X107" si="258">W91-X91+X95-W95</f>
        <v>0</v>
      </c>
      <c r="Y107" s="135">
        <f t="shared" ref="Y107" si="259">X91-Y91+Y95-X95</f>
        <v>0</v>
      </c>
      <c r="Z107" s="135">
        <f t="shared" ref="Z107" si="260">Y91-Z91+Z95-Y95</f>
        <v>0</v>
      </c>
      <c r="AA107" s="135">
        <f t="shared" ref="AA107" si="261">Z91-AA91+AA95-Z95</f>
        <v>0</v>
      </c>
      <c r="AB107" s="135">
        <f t="shared" ref="AB107" si="262">AA91-AB91+AB95-AA95</f>
        <v>0</v>
      </c>
      <c r="AC107" s="135">
        <f t="shared" ref="AC107" si="263">AB91-AC91+AC95-AB95</f>
        <v>0</v>
      </c>
      <c r="AD107" s="135">
        <f t="shared" ref="AD107" si="264">AC91-AD91+AD95-AC95</f>
        <v>0</v>
      </c>
      <c r="AE107" s="135">
        <f t="shared" ref="AE107" si="265">AD91-AE91+AE95-AD95</f>
        <v>0</v>
      </c>
      <c r="AF107" s="135">
        <f t="shared" ref="AF107" si="266">AE91-AF91+AF95-AE95</f>
        <v>0</v>
      </c>
      <c r="AG107" s="135">
        <f t="shared" ref="AG107" si="267">AF91-AG91+AG95-AF95</f>
        <v>0</v>
      </c>
      <c r="AH107" s="135">
        <f t="shared" ref="AH107" si="268">AG91-AH91+AH95-AG95</f>
        <v>0</v>
      </c>
      <c r="AI107" s="136"/>
    </row>
    <row r="108" spans="2:35" x14ac:dyDescent="0.2">
      <c r="B108" s="139" t="s">
        <v>180</v>
      </c>
      <c r="C108" s="91"/>
      <c r="D108" s="92"/>
      <c r="E108" s="297"/>
      <c r="F108" s="140">
        <f>F105+F106+F107</f>
        <v>-230193</v>
      </c>
      <c r="G108" s="140">
        <f t="shared" ref="G108:Q108" si="269">G105+G106+G107</f>
        <v>-235693</v>
      </c>
      <c r="H108" s="140">
        <f t="shared" si="269"/>
        <v>-231893</v>
      </c>
      <c r="I108" s="140">
        <f t="shared" si="269"/>
        <v>-228093</v>
      </c>
      <c r="J108" s="140">
        <f t="shared" si="269"/>
        <v>-41793</v>
      </c>
      <c r="K108" s="140">
        <f t="shared" si="269"/>
        <v>-39683</v>
      </c>
      <c r="L108" s="140">
        <f t="shared" si="269"/>
        <v>-38529.666666666672</v>
      </c>
      <c r="M108" s="140">
        <f t="shared" si="269"/>
        <v>-10751.416666666668</v>
      </c>
      <c r="N108" s="140">
        <f t="shared" si="269"/>
        <v>1041.3333333333321</v>
      </c>
      <c r="O108" s="140">
        <f t="shared" si="269"/>
        <v>4841.3333333333321</v>
      </c>
      <c r="P108" s="140">
        <f t="shared" si="269"/>
        <v>8641.3333333333321</v>
      </c>
      <c r="Q108" s="140">
        <f t="shared" si="269"/>
        <v>12441.333333333332</v>
      </c>
      <c r="R108" s="141"/>
      <c r="T108" s="91"/>
      <c r="U108" s="92"/>
      <c r="V108" s="297"/>
      <c r="W108" s="140">
        <f>W105+W106+W107</f>
        <v>-8505.5</v>
      </c>
      <c r="X108" s="140">
        <f t="shared" ref="X108:AH108" si="270">X105+X106+X107</f>
        <v>21297.833333333332</v>
      </c>
      <c r="Y108" s="140">
        <f t="shared" si="270"/>
        <v>25162.833333333332</v>
      </c>
      <c r="Z108" s="140">
        <f t="shared" si="270"/>
        <v>29287.833333333332</v>
      </c>
      <c r="AA108" s="140">
        <f t="shared" si="270"/>
        <v>33412.833333333328</v>
      </c>
      <c r="AB108" s="140">
        <f t="shared" si="270"/>
        <v>37537.833333333328</v>
      </c>
      <c r="AC108" s="140">
        <f t="shared" si="270"/>
        <v>41662.833333333328</v>
      </c>
      <c r="AD108" s="140">
        <f t="shared" si="270"/>
        <v>45763.083333333328</v>
      </c>
      <c r="AE108" s="140">
        <f t="shared" si="270"/>
        <v>49879.833333333328</v>
      </c>
      <c r="AF108" s="140">
        <f t="shared" si="270"/>
        <v>54004.833333333328</v>
      </c>
      <c r="AG108" s="140">
        <f t="shared" si="270"/>
        <v>58129.833333333328</v>
      </c>
      <c r="AH108" s="140">
        <f t="shared" si="270"/>
        <v>62254.833333333328</v>
      </c>
      <c r="AI108" s="141"/>
    </row>
    <row r="109" spans="2:35" x14ac:dyDescent="0.2">
      <c r="B109" s="137"/>
      <c r="C109" s="49"/>
      <c r="D109" s="98"/>
      <c r="E109" s="99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1"/>
      <c r="T109" s="49"/>
      <c r="U109" s="98"/>
      <c r="V109" s="99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1"/>
    </row>
    <row r="110" spans="2:35" x14ac:dyDescent="0.2">
      <c r="B110" s="137" t="s">
        <v>181</v>
      </c>
      <c r="C110" s="49" t="s">
        <v>131</v>
      </c>
      <c r="D110" s="72">
        <v>0</v>
      </c>
      <c r="E110" s="118"/>
      <c r="F110" s="152">
        <f>D110</f>
        <v>0</v>
      </c>
      <c r="G110" s="152">
        <f t="shared" ref="G110:Q111" si="271">F110</f>
        <v>0</v>
      </c>
      <c r="H110" s="152">
        <f t="shared" si="271"/>
        <v>0</v>
      </c>
      <c r="I110" s="152">
        <f t="shared" si="271"/>
        <v>0</v>
      </c>
      <c r="J110" s="152">
        <f t="shared" si="271"/>
        <v>0</v>
      </c>
      <c r="K110" s="152">
        <f t="shared" si="271"/>
        <v>0</v>
      </c>
      <c r="L110" s="152">
        <f t="shared" si="271"/>
        <v>0</v>
      </c>
      <c r="M110" s="152">
        <f t="shared" si="271"/>
        <v>0</v>
      </c>
      <c r="N110" s="152">
        <f t="shared" si="271"/>
        <v>0</v>
      </c>
      <c r="O110" s="152">
        <f t="shared" si="271"/>
        <v>0</v>
      </c>
      <c r="P110" s="152">
        <f t="shared" si="271"/>
        <v>0</v>
      </c>
      <c r="Q110" s="152">
        <f t="shared" si="271"/>
        <v>0</v>
      </c>
      <c r="R110" s="153"/>
      <c r="T110" s="49" t="s">
        <v>131</v>
      </c>
      <c r="U110" s="72">
        <v>0</v>
      </c>
      <c r="V110" s="118"/>
      <c r="W110" s="152">
        <f>U110</f>
        <v>0</v>
      </c>
      <c r="X110" s="152">
        <f t="shared" ref="X110:X111" si="272">W110</f>
        <v>0</v>
      </c>
      <c r="Y110" s="152">
        <f t="shared" ref="Y110:Y111" si="273">X110</f>
        <v>0</v>
      </c>
      <c r="Z110" s="152">
        <f t="shared" ref="Z110:Z111" si="274">Y110</f>
        <v>0</v>
      </c>
      <c r="AA110" s="152">
        <f t="shared" ref="AA110:AA111" si="275">Z110</f>
        <v>0</v>
      </c>
      <c r="AB110" s="152">
        <f t="shared" ref="AB110:AB111" si="276">AA110</f>
        <v>0</v>
      </c>
      <c r="AC110" s="152">
        <f t="shared" ref="AC110:AC111" si="277">AB110</f>
        <v>0</v>
      </c>
      <c r="AD110" s="152">
        <f t="shared" ref="AD110:AD111" si="278">AC110</f>
        <v>0</v>
      </c>
      <c r="AE110" s="152">
        <f t="shared" ref="AE110:AE111" si="279">AD110</f>
        <v>0</v>
      </c>
      <c r="AF110" s="152">
        <f t="shared" ref="AF110:AF111" si="280">AE110</f>
        <v>0</v>
      </c>
      <c r="AG110" s="152">
        <f t="shared" ref="AG110:AG111" si="281">AF110</f>
        <v>0</v>
      </c>
      <c r="AH110" s="152">
        <f t="shared" ref="AH110:AH111" si="282">AG110</f>
        <v>0</v>
      </c>
      <c r="AI110" s="153"/>
    </row>
    <row r="111" spans="2:35" x14ac:dyDescent="0.2">
      <c r="B111" s="137" t="s">
        <v>182</v>
      </c>
      <c r="C111" s="49" t="s">
        <v>131</v>
      </c>
      <c r="D111" s="72">
        <v>0</v>
      </c>
      <c r="E111" s="118"/>
      <c r="F111" s="152">
        <f>D111</f>
        <v>0</v>
      </c>
      <c r="G111" s="152">
        <f t="shared" si="271"/>
        <v>0</v>
      </c>
      <c r="H111" s="152">
        <f t="shared" si="271"/>
        <v>0</v>
      </c>
      <c r="I111" s="152">
        <f t="shared" si="271"/>
        <v>0</v>
      </c>
      <c r="J111" s="152">
        <f t="shared" si="271"/>
        <v>0</v>
      </c>
      <c r="K111" s="152">
        <f t="shared" si="271"/>
        <v>0</v>
      </c>
      <c r="L111" s="152">
        <f t="shared" si="271"/>
        <v>0</v>
      </c>
      <c r="M111" s="152">
        <f t="shared" si="271"/>
        <v>0</v>
      </c>
      <c r="N111" s="152">
        <f t="shared" si="271"/>
        <v>0</v>
      </c>
      <c r="O111" s="152">
        <f t="shared" si="271"/>
        <v>0</v>
      </c>
      <c r="P111" s="152">
        <f t="shared" si="271"/>
        <v>0</v>
      </c>
      <c r="Q111" s="152">
        <f t="shared" si="271"/>
        <v>0</v>
      </c>
      <c r="R111" s="153"/>
      <c r="T111" s="49" t="s">
        <v>131</v>
      </c>
      <c r="U111" s="72">
        <v>0</v>
      </c>
      <c r="V111" s="118"/>
      <c r="W111" s="152">
        <f>U111</f>
        <v>0</v>
      </c>
      <c r="X111" s="152">
        <f t="shared" si="272"/>
        <v>0</v>
      </c>
      <c r="Y111" s="152">
        <f t="shared" si="273"/>
        <v>0</v>
      </c>
      <c r="Z111" s="152">
        <f t="shared" si="274"/>
        <v>0</v>
      </c>
      <c r="AA111" s="152">
        <f t="shared" si="275"/>
        <v>0</v>
      </c>
      <c r="AB111" s="152">
        <f t="shared" si="276"/>
        <v>0</v>
      </c>
      <c r="AC111" s="152">
        <f t="shared" si="277"/>
        <v>0</v>
      </c>
      <c r="AD111" s="152">
        <f t="shared" si="278"/>
        <v>0</v>
      </c>
      <c r="AE111" s="152">
        <f t="shared" si="279"/>
        <v>0</v>
      </c>
      <c r="AF111" s="152">
        <f t="shared" si="280"/>
        <v>0</v>
      </c>
      <c r="AG111" s="152">
        <f t="shared" si="281"/>
        <v>0</v>
      </c>
      <c r="AH111" s="152">
        <f t="shared" si="282"/>
        <v>0</v>
      </c>
      <c r="AI111" s="153"/>
    </row>
    <row r="112" spans="2:35" x14ac:dyDescent="0.2">
      <c r="B112" s="139" t="s">
        <v>183</v>
      </c>
      <c r="C112" s="91"/>
      <c r="D112" s="92"/>
      <c r="E112" s="297"/>
      <c r="F112" s="154">
        <f t="shared" ref="F112:Q112" si="283">F110+F111</f>
        <v>0</v>
      </c>
      <c r="G112" s="154">
        <f t="shared" si="283"/>
        <v>0</v>
      </c>
      <c r="H112" s="154">
        <f t="shared" si="283"/>
        <v>0</v>
      </c>
      <c r="I112" s="154">
        <f t="shared" si="283"/>
        <v>0</v>
      </c>
      <c r="J112" s="154">
        <f t="shared" si="283"/>
        <v>0</v>
      </c>
      <c r="K112" s="154">
        <f t="shared" si="283"/>
        <v>0</v>
      </c>
      <c r="L112" s="154">
        <f t="shared" si="283"/>
        <v>0</v>
      </c>
      <c r="M112" s="154">
        <f t="shared" si="283"/>
        <v>0</v>
      </c>
      <c r="N112" s="154">
        <f t="shared" si="283"/>
        <v>0</v>
      </c>
      <c r="O112" s="154">
        <f t="shared" si="283"/>
        <v>0</v>
      </c>
      <c r="P112" s="154">
        <f t="shared" si="283"/>
        <v>0</v>
      </c>
      <c r="Q112" s="154">
        <f t="shared" si="283"/>
        <v>0</v>
      </c>
      <c r="R112" s="155"/>
      <c r="T112" s="91"/>
      <c r="U112" s="92"/>
      <c r="V112" s="297"/>
      <c r="W112" s="154">
        <f t="shared" ref="W112:AH112" si="284">W110+W111</f>
        <v>0</v>
      </c>
      <c r="X112" s="154">
        <f t="shared" si="284"/>
        <v>0</v>
      </c>
      <c r="Y112" s="154">
        <f t="shared" si="284"/>
        <v>0</v>
      </c>
      <c r="Z112" s="154">
        <f t="shared" si="284"/>
        <v>0</v>
      </c>
      <c r="AA112" s="154">
        <f t="shared" si="284"/>
        <v>0</v>
      </c>
      <c r="AB112" s="154">
        <f t="shared" si="284"/>
        <v>0</v>
      </c>
      <c r="AC112" s="154">
        <f t="shared" si="284"/>
        <v>0</v>
      </c>
      <c r="AD112" s="154">
        <f t="shared" si="284"/>
        <v>0</v>
      </c>
      <c r="AE112" s="154">
        <f t="shared" si="284"/>
        <v>0</v>
      </c>
      <c r="AF112" s="154">
        <f t="shared" si="284"/>
        <v>0</v>
      </c>
      <c r="AG112" s="154">
        <f t="shared" si="284"/>
        <v>0</v>
      </c>
      <c r="AH112" s="154">
        <f t="shared" si="284"/>
        <v>0</v>
      </c>
      <c r="AI112" s="155"/>
    </row>
    <row r="113" spans="2:35" x14ac:dyDescent="0.2">
      <c r="B113" s="137"/>
      <c r="C113" s="49"/>
      <c r="D113" s="98"/>
      <c r="E113" s="99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1"/>
      <c r="T113" s="49"/>
      <c r="U113" s="98"/>
      <c r="V113" s="99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1"/>
    </row>
    <row r="114" spans="2:35" x14ac:dyDescent="0.2">
      <c r="B114" s="137" t="s">
        <v>184</v>
      </c>
      <c r="C114" s="49"/>
      <c r="D114" s="117"/>
      <c r="E114" s="156"/>
      <c r="F114" s="58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>
        <v>0</v>
      </c>
      <c r="R114" s="64">
        <f>SUM(F114:Q114)</f>
        <v>0</v>
      </c>
      <c r="T114" s="49"/>
      <c r="U114" s="117"/>
      <c r="V114" s="156"/>
      <c r="W114" s="58">
        <v>0</v>
      </c>
      <c r="X114" s="157">
        <v>0</v>
      </c>
      <c r="Y114" s="157">
        <v>0</v>
      </c>
      <c r="Z114" s="157">
        <v>0</v>
      </c>
      <c r="AA114" s="157">
        <v>0</v>
      </c>
      <c r="AB114" s="157">
        <v>0</v>
      </c>
      <c r="AC114" s="157">
        <v>0</v>
      </c>
      <c r="AD114" s="157">
        <v>0</v>
      </c>
      <c r="AE114" s="157">
        <v>0</v>
      </c>
      <c r="AF114" s="157">
        <v>0</v>
      </c>
      <c r="AG114" s="157">
        <v>0</v>
      </c>
      <c r="AH114" s="157">
        <v>0</v>
      </c>
      <c r="AI114" s="64">
        <f>SUM(W114:AH114)</f>
        <v>0</v>
      </c>
    </row>
    <row r="115" spans="2:35" x14ac:dyDescent="0.2">
      <c r="B115" s="137" t="s">
        <v>185</v>
      </c>
      <c r="C115" s="49"/>
      <c r="D115" s="117"/>
      <c r="E115" s="158"/>
      <c r="F115" s="157">
        <v>0</v>
      </c>
      <c r="G115" s="157">
        <v>0</v>
      </c>
      <c r="H115" s="157">
        <v>0</v>
      </c>
      <c r="I115" s="157">
        <v>0</v>
      </c>
      <c r="J115" s="157">
        <v>0</v>
      </c>
      <c r="K115" s="157">
        <v>0</v>
      </c>
      <c r="L115" s="157">
        <v>0</v>
      </c>
      <c r="M115" s="157">
        <v>0</v>
      </c>
      <c r="N115" s="157">
        <v>0</v>
      </c>
      <c r="O115" s="157">
        <v>0</v>
      </c>
      <c r="P115" s="157">
        <v>0</v>
      </c>
      <c r="Q115" s="157">
        <v>0</v>
      </c>
      <c r="R115" s="64">
        <f>SUM(F115:Q115)</f>
        <v>0</v>
      </c>
      <c r="T115" s="49"/>
      <c r="U115" s="117"/>
      <c r="V115" s="158"/>
      <c r="W115" s="157">
        <v>0</v>
      </c>
      <c r="X115" s="157">
        <v>0</v>
      </c>
      <c r="Y115" s="157">
        <v>0</v>
      </c>
      <c r="Z115" s="157">
        <v>0</v>
      </c>
      <c r="AA115" s="157">
        <v>0</v>
      </c>
      <c r="AB115" s="157">
        <v>0</v>
      </c>
      <c r="AC115" s="157">
        <v>0</v>
      </c>
      <c r="AD115" s="157">
        <v>0</v>
      </c>
      <c r="AE115" s="157">
        <v>0</v>
      </c>
      <c r="AF115" s="157">
        <v>0</v>
      </c>
      <c r="AG115" s="157">
        <v>0</v>
      </c>
      <c r="AH115" s="157">
        <v>0</v>
      </c>
      <c r="AI115" s="64">
        <f>SUM(W115:AH115)</f>
        <v>0</v>
      </c>
    </row>
    <row r="116" spans="2:35" x14ac:dyDescent="0.2">
      <c r="B116" s="137" t="s">
        <v>186</v>
      </c>
      <c r="C116" s="49"/>
      <c r="D116" s="98"/>
      <c r="E116" s="99"/>
      <c r="F116" s="157">
        <v>0</v>
      </c>
      <c r="G116" s="157">
        <v>0</v>
      </c>
      <c r="H116" s="157">
        <v>0</v>
      </c>
      <c r="I116" s="157">
        <v>0</v>
      </c>
      <c r="J116" s="157">
        <v>0</v>
      </c>
      <c r="K116" s="157">
        <v>0</v>
      </c>
      <c r="L116" s="157">
        <v>0</v>
      </c>
      <c r="M116" s="157">
        <v>0</v>
      </c>
      <c r="N116" s="157">
        <v>0</v>
      </c>
      <c r="O116" s="157">
        <v>0</v>
      </c>
      <c r="P116" s="157">
        <v>0</v>
      </c>
      <c r="Q116" s="157">
        <v>0</v>
      </c>
      <c r="R116" s="64">
        <f>SUM(F116:Q116)</f>
        <v>0</v>
      </c>
      <c r="T116" s="49"/>
      <c r="U116" s="98"/>
      <c r="V116" s="99"/>
      <c r="W116" s="157">
        <v>0</v>
      </c>
      <c r="X116" s="157">
        <v>0</v>
      </c>
      <c r="Y116" s="157">
        <v>0</v>
      </c>
      <c r="Z116" s="157">
        <v>0</v>
      </c>
      <c r="AA116" s="157">
        <v>0</v>
      </c>
      <c r="AB116" s="157">
        <v>0</v>
      </c>
      <c r="AC116" s="157">
        <v>0</v>
      </c>
      <c r="AD116" s="157">
        <v>0</v>
      </c>
      <c r="AE116" s="157">
        <v>0</v>
      </c>
      <c r="AF116" s="157">
        <v>0</v>
      </c>
      <c r="AG116" s="157">
        <v>0</v>
      </c>
      <c r="AH116" s="157">
        <v>0</v>
      </c>
      <c r="AI116" s="64">
        <f>SUM(W116:AH116)</f>
        <v>0</v>
      </c>
    </row>
    <row r="117" spans="2:35" x14ac:dyDescent="0.2">
      <c r="B117" s="137" t="s">
        <v>187</v>
      </c>
      <c r="C117" s="49"/>
      <c r="D117" s="98"/>
      <c r="E117" s="99"/>
      <c r="F117" s="157">
        <v>0</v>
      </c>
      <c r="G117" s="157">
        <v>0</v>
      </c>
      <c r="H117" s="157">
        <v>0</v>
      </c>
      <c r="I117" s="157">
        <v>0</v>
      </c>
      <c r="J117" s="157">
        <v>0</v>
      </c>
      <c r="K117" s="157">
        <v>0</v>
      </c>
      <c r="L117" s="157">
        <v>0</v>
      </c>
      <c r="M117" s="157">
        <v>0</v>
      </c>
      <c r="N117" s="157">
        <v>0</v>
      </c>
      <c r="O117" s="157">
        <v>0</v>
      </c>
      <c r="P117" s="157">
        <v>0</v>
      </c>
      <c r="Q117" s="157">
        <v>0</v>
      </c>
      <c r="R117" s="64">
        <f>SUM(F117:Q117)</f>
        <v>0</v>
      </c>
      <c r="T117" s="49"/>
      <c r="U117" s="98"/>
      <c r="V117" s="99"/>
      <c r="W117" s="157">
        <v>0</v>
      </c>
      <c r="X117" s="157">
        <v>0</v>
      </c>
      <c r="Y117" s="157">
        <v>0</v>
      </c>
      <c r="Z117" s="157">
        <v>0</v>
      </c>
      <c r="AA117" s="157">
        <v>0</v>
      </c>
      <c r="AB117" s="157">
        <v>0</v>
      </c>
      <c r="AC117" s="157">
        <v>0</v>
      </c>
      <c r="AD117" s="157">
        <v>0</v>
      </c>
      <c r="AE117" s="157">
        <v>0</v>
      </c>
      <c r="AF117" s="157">
        <v>0</v>
      </c>
      <c r="AG117" s="157">
        <v>0</v>
      </c>
      <c r="AH117" s="157">
        <v>0</v>
      </c>
      <c r="AI117" s="64">
        <f>SUM(W117:AH117)</f>
        <v>0</v>
      </c>
    </row>
    <row r="118" spans="2:35" x14ac:dyDescent="0.2">
      <c r="B118" s="139" t="s">
        <v>188</v>
      </c>
      <c r="C118" s="91"/>
      <c r="D118" s="92"/>
      <c r="E118" s="297"/>
      <c r="F118" s="154">
        <f t="shared" ref="F118:Q118" si="285">SUM(F114:F117)</f>
        <v>0</v>
      </c>
      <c r="G118" s="154">
        <f t="shared" si="285"/>
        <v>0</v>
      </c>
      <c r="H118" s="154">
        <f t="shared" si="285"/>
        <v>0</v>
      </c>
      <c r="I118" s="154">
        <f t="shared" si="285"/>
        <v>0</v>
      </c>
      <c r="J118" s="154">
        <f t="shared" si="285"/>
        <v>0</v>
      </c>
      <c r="K118" s="154">
        <f t="shared" si="285"/>
        <v>0</v>
      </c>
      <c r="L118" s="154">
        <f t="shared" si="285"/>
        <v>0</v>
      </c>
      <c r="M118" s="154">
        <f t="shared" si="285"/>
        <v>0</v>
      </c>
      <c r="N118" s="154">
        <f t="shared" si="285"/>
        <v>0</v>
      </c>
      <c r="O118" s="154">
        <f t="shared" si="285"/>
        <v>0</v>
      </c>
      <c r="P118" s="154">
        <f t="shared" si="285"/>
        <v>0</v>
      </c>
      <c r="Q118" s="154">
        <f t="shared" si="285"/>
        <v>0</v>
      </c>
      <c r="R118" s="155"/>
      <c r="T118" s="91"/>
      <c r="U118" s="92"/>
      <c r="V118" s="297"/>
      <c r="W118" s="154">
        <f t="shared" ref="W118:AH118" si="286">SUM(W114:W117)</f>
        <v>0</v>
      </c>
      <c r="X118" s="154">
        <f t="shared" si="286"/>
        <v>0</v>
      </c>
      <c r="Y118" s="154">
        <f t="shared" si="286"/>
        <v>0</v>
      </c>
      <c r="Z118" s="154">
        <f t="shared" si="286"/>
        <v>0</v>
      </c>
      <c r="AA118" s="154">
        <f t="shared" si="286"/>
        <v>0</v>
      </c>
      <c r="AB118" s="154">
        <f t="shared" si="286"/>
        <v>0</v>
      </c>
      <c r="AC118" s="154">
        <f t="shared" si="286"/>
        <v>0</v>
      </c>
      <c r="AD118" s="154">
        <f t="shared" si="286"/>
        <v>0</v>
      </c>
      <c r="AE118" s="154">
        <f t="shared" si="286"/>
        <v>0</v>
      </c>
      <c r="AF118" s="154">
        <f t="shared" si="286"/>
        <v>0</v>
      </c>
      <c r="AG118" s="154">
        <f t="shared" si="286"/>
        <v>0</v>
      </c>
      <c r="AH118" s="154">
        <f t="shared" si="286"/>
        <v>0</v>
      </c>
      <c r="AI118" s="155"/>
    </row>
    <row r="119" spans="2:35" x14ac:dyDescent="0.2">
      <c r="B119" s="137"/>
      <c r="C119" s="49"/>
      <c r="D119" s="98"/>
      <c r="E119" s="99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1"/>
      <c r="T119" s="49"/>
      <c r="U119" s="98"/>
      <c r="V119" s="99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1"/>
    </row>
    <row r="120" spans="2:35" x14ac:dyDescent="0.2">
      <c r="B120" s="137" t="s">
        <v>189</v>
      </c>
      <c r="C120" s="49" t="s">
        <v>190</v>
      </c>
      <c r="D120" s="291">
        <v>1100000</v>
      </c>
      <c r="E120" s="299"/>
      <c r="F120" s="294">
        <f>D120</f>
        <v>1100000</v>
      </c>
      <c r="G120" s="135">
        <f t="shared" ref="G120:Q120" si="287">F88</f>
        <v>869807</v>
      </c>
      <c r="H120" s="135">
        <f t="shared" si="287"/>
        <v>634114</v>
      </c>
      <c r="I120" s="135">
        <f t="shared" si="287"/>
        <v>402221</v>
      </c>
      <c r="J120" s="135">
        <f t="shared" si="287"/>
        <v>174128</v>
      </c>
      <c r="K120" s="135">
        <f t="shared" si="287"/>
        <v>132335</v>
      </c>
      <c r="L120" s="135">
        <f t="shared" si="287"/>
        <v>92652</v>
      </c>
      <c r="M120" s="135">
        <f t="shared" si="287"/>
        <v>54122.333333333328</v>
      </c>
      <c r="N120" s="135">
        <f t="shared" si="287"/>
        <v>43370.916666666657</v>
      </c>
      <c r="O120" s="135">
        <f t="shared" si="287"/>
        <v>44412.249999999985</v>
      </c>
      <c r="P120" s="135">
        <f t="shared" si="287"/>
        <v>49253.583333333314</v>
      </c>
      <c r="Q120" s="135">
        <f t="shared" si="287"/>
        <v>57894.916666666642</v>
      </c>
      <c r="R120" s="136"/>
      <c r="T120" s="49" t="s">
        <v>190</v>
      </c>
      <c r="U120" s="303">
        <f>R122</f>
        <v>70336.249999999971</v>
      </c>
      <c r="V120" s="299"/>
      <c r="W120" s="302">
        <f>U120</f>
        <v>70336.249999999971</v>
      </c>
      <c r="X120" s="135">
        <f t="shared" ref="X120" si="288">W88</f>
        <v>61830.749999999971</v>
      </c>
      <c r="Y120" s="135">
        <f t="shared" ref="Y120" si="289">X88</f>
        <v>83128.583333333299</v>
      </c>
      <c r="Z120" s="135">
        <f t="shared" ref="Z120" si="290">Y88</f>
        <v>108291.41666666663</v>
      </c>
      <c r="AA120" s="135">
        <f t="shared" ref="AA120" si="291">Z88</f>
        <v>137579.24999999997</v>
      </c>
      <c r="AB120" s="135">
        <f t="shared" ref="AB120" si="292">AA88</f>
        <v>170992.08333333331</v>
      </c>
      <c r="AC120" s="135">
        <f t="shared" ref="AC120" si="293">AB88</f>
        <v>208529.91666666663</v>
      </c>
      <c r="AD120" s="135">
        <f t="shared" ref="AD120" si="294">AC88</f>
        <v>250192.74999999994</v>
      </c>
      <c r="AE120" s="135">
        <f t="shared" ref="AE120" si="295">AD88</f>
        <v>295955.83333333326</v>
      </c>
      <c r="AF120" s="135">
        <f t="shared" ref="AF120" si="296">AE88</f>
        <v>345835.66666666657</v>
      </c>
      <c r="AG120" s="135">
        <f t="shared" ref="AG120" si="297">AF88</f>
        <v>399840.49999999988</v>
      </c>
      <c r="AH120" s="135">
        <f t="shared" ref="AH120" si="298">AG88</f>
        <v>457970.3333333332</v>
      </c>
      <c r="AI120" s="136"/>
    </row>
    <row r="121" spans="2:35" x14ac:dyDescent="0.2">
      <c r="B121" s="137" t="s">
        <v>191</v>
      </c>
      <c r="C121" s="49"/>
      <c r="D121" s="98"/>
      <c r="E121" s="99"/>
      <c r="F121" s="294">
        <f>F108+F112+F118</f>
        <v>-230193</v>
      </c>
      <c r="G121" s="135">
        <f t="shared" ref="G121:Q121" si="299">G108+G112+G118</f>
        <v>-235693</v>
      </c>
      <c r="H121" s="135">
        <f t="shared" si="299"/>
        <v>-231893</v>
      </c>
      <c r="I121" s="135">
        <f t="shared" si="299"/>
        <v>-228093</v>
      </c>
      <c r="J121" s="135">
        <f t="shared" si="299"/>
        <v>-41793</v>
      </c>
      <c r="K121" s="135">
        <f t="shared" si="299"/>
        <v>-39683</v>
      </c>
      <c r="L121" s="135">
        <f t="shared" si="299"/>
        <v>-38529.666666666672</v>
      </c>
      <c r="M121" s="135">
        <f t="shared" si="299"/>
        <v>-10751.416666666668</v>
      </c>
      <c r="N121" s="135">
        <f t="shared" si="299"/>
        <v>1041.3333333333321</v>
      </c>
      <c r="O121" s="135">
        <f t="shared" si="299"/>
        <v>4841.3333333333321</v>
      </c>
      <c r="P121" s="135">
        <f t="shared" si="299"/>
        <v>8641.3333333333321</v>
      </c>
      <c r="Q121" s="135">
        <f t="shared" si="299"/>
        <v>12441.333333333332</v>
      </c>
      <c r="R121" s="136"/>
      <c r="T121" s="49"/>
      <c r="U121" s="98"/>
      <c r="V121" s="99"/>
      <c r="W121" s="294">
        <f>W108+W112+W118</f>
        <v>-8505.5</v>
      </c>
      <c r="X121" s="135">
        <f t="shared" ref="X121:AH121" si="300">X108+X112+X118</f>
        <v>21297.833333333332</v>
      </c>
      <c r="Y121" s="135">
        <f t="shared" si="300"/>
        <v>25162.833333333332</v>
      </c>
      <c r="Z121" s="135">
        <f t="shared" si="300"/>
        <v>29287.833333333332</v>
      </c>
      <c r="AA121" s="135">
        <f t="shared" si="300"/>
        <v>33412.833333333328</v>
      </c>
      <c r="AB121" s="135">
        <f t="shared" si="300"/>
        <v>37537.833333333328</v>
      </c>
      <c r="AC121" s="135">
        <f t="shared" si="300"/>
        <v>41662.833333333328</v>
      </c>
      <c r="AD121" s="135">
        <f t="shared" si="300"/>
        <v>45763.083333333328</v>
      </c>
      <c r="AE121" s="135">
        <f t="shared" si="300"/>
        <v>49879.833333333328</v>
      </c>
      <c r="AF121" s="135">
        <f t="shared" si="300"/>
        <v>54004.833333333328</v>
      </c>
      <c r="AG121" s="135">
        <f t="shared" si="300"/>
        <v>58129.833333333328</v>
      </c>
      <c r="AH121" s="135">
        <f t="shared" si="300"/>
        <v>62254.833333333328</v>
      </c>
      <c r="AI121" s="136"/>
    </row>
    <row r="122" spans="2:35" x14ac:dyDescent="0.2">
      <c r="B122" s="139" t="s">
        <v>192</v>
      </c>
      <c r="C122" s="91"/>
      <c r="D122" s="92"/>
      <c r="E122" s="297"/>
      <c r="F122" s="140">
        <f t="shared" ref="F122:Q122" si="301">F120+F121</f>
        <v>869807</v>
      </c>
      <c r="G122" s="140">
        <f t="shared" si="301"/>
        <v>634114</v>
      </c>
      <c r="H122" s="140">
        <f>H120+H121</f>
        <v>402221</v>
      </c>
      <c r="I122" s="140">
        <f t="shared" si="301"/>
        <v>174128</v>
      </c>
      <c r="J122" s="140">
        <f t="shared" si="301"/>
        <v>132335</v>
      </c>
      <c r="K122" s="140">
        <f t="shared" si="301"/>
        <v>92652</v>
      </c>
      <c r="L122" s="140">
        <f t="shared" si="301"/>
        <v>54122.333333333328</v>
      </c>
      <c r="M122" s="140">
        <f t="shared" si="301"/>
        <v>43370.916666666657</v>
      </c>
      <c r="N122" s="140">
        <f t="shared" si="301"/>
        <v>44412.249999999985</v>
      </c>
      <c r="O122" s="140">
        <f t="shared" si="301"/>
        <v>49253.583333333314</v>
      </c>
      <c r="P122" s="140">
        <f t="shared" si="301"/>
        <v>57894.916666666642</v>
      </c>
      <c r="Q122" s="140">
        <f t="shared" si="301"/>
        <v>70336.249999999971</v>
      </c>
      <c r="R122" s="141">
        <f>Q122</f>
        <v>70336.249999999971</v>
      </c>
      <c r="T122" s="91"/>
      <c r="U122" s="92"/>
      <c r="V122" s="297"/>
      <c r="W122" s="140">
        <f t="shared" ref="W122:X122" si="302">W120+W121</f>
        <v>61830.749999999971</v>
      </c>
      <c r="X122" s="140">
        <f t="shared" si="302"/>
        <v>83128.583333333299</v>
      </c>
      <c r="Y122" s="140">
        <f>Y120+Y121</f>
        <v>108291.41666666663</v>
      </c>
      <c r="Z122" s="140">
        <f t="shared" ref="Z122:AH122" si="303">Z120+Z121</f>
        <v>137579.24999999997</v>
      </c>
      <c r="AA122" s="140">
        <f t="shared" si="303"/>
        <v>170992.08333333331</v>
      </c>
      <c r="AB122" s="140">
        <f t="shared" si="303"/>
        <v>208529.91666666663</v>
      </c>
      <c r="AC122" s="140">
        <f t="shared" si="303"/>
        <v>250192.74999999994</v>
      </c>
      <c r="AD122" s="140">
        <f t="shared" si="303"/>
        <v>295955.83333333326</v>
      </c>
      <c r="AE122" s="140">
        <f t="shared" si="303"/>
        <v>345835.66666666657</v>
      </c>
      <c r="AF122" s="140">
        <f t="shared" si="303"/>
        <v>399840.49999999988</v>
      </c>
      <c r="AG122" s="140">
        <f t="shared" si="303"/>
        <v>457970.3333333332</v>
      </c>
      <c r="AH122" s="140">
        <f t="shared" si="303"/>
        <v>520225.16666666651</v>
      </c>
      <c r="AI122" s="141">
        <f>AH122</f>
        <v>520225.16666666651</v>
      </c>
    </row>
  </sheetData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DDD9-C5C2-3340-90D1-B49D4F3BCC7B}">
  <dimension ref="B1:K36"/>
  <sheetViews>
    <sheetView workbookViewId="0">
      <selection activeCell="F25" sqref="F25"/>
    </sheetView>
  </sheetViews>
  <sheetFormatPr baseColWidth="10" defaultRowHeight="16" x14ac:dyDescent="0.2"/>
  <cols>
    <col min="1" max="1" width="10.83203125" style="79"/>
    <col min="2" max="2" width="47.5" style="79" bestFit="1" customWidth="1"/>
    <col min="3" max="3" width="19" style="79" customWidth="1"/>
    <col min="4" max="4" width="18" style="79" customWidth="1"/>
    <col min="5" max="5" width="25.83203125" style="79" bestFit="1" customWidth="1"/>
    <col min="6" max="6" width="16.33203125" style="79" bestFit="1" customWidth="1"/>
    <col min="7" max="7" width="14.1640625" style="79" bestFit="1" customWidth="1"/>
    <col min="8" max="9" width="23.1640625" style="79" bestFit="1" customWidth="1"/>
    <col min="10" max="16384" width="10.83203125" style="79"/>
  </cols>
  <sheetData>
    <row r="1" spans="2:11" s="309" customFormat="1" x14ac:dyDescent="0.2"/>
    <row r="2" spans="2:11" s="309" customFormat="1" x14ac:dyDescent="0.2">
      <c r="B2" s="41" t="s">
        <v>112</v>
      </c>
      <c r="C2" s="310"/>
      <c r="D2" s="310"/>
    </row>
    <row r="3" spans="2:11" x14ac:dyDescent="0.2">
      <c r="B3" s="41"/>
      <c r="C3" s="310"/>
      <c r="D3" s="310"/>
    </row>
    <row r="4" spans="2:11" x14ac:dyDescent="0.2">
      <c r="B4" s="360" t="s">
        <v>256</v>
      </c>
      <c r="C4" s="360"/>
      <c r="D4" s="360"/>
    </row>
    <row r="5" spans="2:11" x14ac:dyDescent="0.2">
      <c r="B5" s="43"/>
      <c r="C5" s="312" t="s">
        <v>113</v>
      </c>
      <c r="D5" s="313" t="s">
        <v>114</v>
      </c>
    </row>
    <row r="6" spans="2:11" x14ac:dyDescent="0.2">
      <c r="B6" s="43" t="s">
        <v>257</v>
      </c>
      <c r="C6" s="316">
        <f>'Moderate Projections'!R32</f>
        <v>396400</v>
      </c>
      <c r="D6" s="317">
        <f>'Moderate Projections'!AI32</f>
        <v>1065750</v>
      </c>
    </row>
    <row r="7" spans="2:11" x14ac:dyDescent="0.2">
      <c r="B7" s="297" t="s">
        <v>126</v>
      </c>
      <c r="C7" s="316">
        <f>'Moderate Projections'!R48</f>
        <v>-643916</v>
      </c>
      <c r="D7" s="317">
        <f>'Moderate Projections'!AI48</f>
        <v>730434</v>
      </c>
    </row>
    <row r="8" spans="2:11" hidden="1" x14ac:dyDescent="0.2">
      <c r="B8" s="90" t="s">
        <v>258</v>
      </c>
      <c r="C8" s="316">
        <f>-'[1]Moderate Model'!R130</f>
        <v>-922258.33333333337</v>
      </c>
      <c r="D8" s="317" t="e">
        <f>-'[1]Moderate Model'!#REF!</f>
        <v>#REF!</v>
      </c>
    </row>
    <row r="9" spans="2:11" x14ac:dyDescent="0.2">
      <c r="B9" s="90" t="s">
        <v>259</v>
      </c>
      <c r="C9" s="318">
        <f>'Moderate Projections'!R81</f>
        <v>-1004567.6666666664</v>
      </c>
      <c r="D9" s="319">
        <f>'Moderate Projections'!AI81</f>
        <v>500828.99999999988</v>
      </c>
    </row>
    <row r="10" spans="2:11" x14ac:dyDescent="0.2">
      <c r="B10" s="90" t="s">
        <v>260</v>
      </c>
      <c r="C10" s="316">
        <f>'Moderate Projections'!R84</f>
        <v>-1004567.6666666664</v>
      </c>
      <c r="D10" s="317">
        <f>'Moderate Projections'!AI84</f>
        <v>500828.99999999988</v>
      </c>
      <c r="E10" s="315"/>
    </row>
    <row r="11" spans="2:11" x14ac:dyDescent="0.2">
      <c r="B11" s="39"/>
      <c r="C11" s="310"/>
      <c r="D11" s="310"/>
    </row>
    <row r="12" spans="2:11" x14ac:dyDescent="0.2">
      <c r="B12" s="358" t="s">
        <v>278</v>
      </c>
      <c r="C12" s="358"/>
      <c r="D12" s="358"/>
      <c r="E12" s="358"/>
      <c r="F12" s="358"/>
      <c r="G12" s="358"/>
      <c r="H12" s="358"/>
      <c r="I12" s="358"/>
      <c r="J12" s="358"/>
      <c r="K12" s="358"/>
    </row>
    <row r="13" spans="2:11" x14ac:dyDescent="0.2">
      <c r="B13" s="43"/>
      <c r="C13" s="326"/>
      <c r="D13" s="353" t="s">
        <v>113</v>
      </c>
      <c r="E13" s="354"/>
      <c r="F13" s="354"/>
      <c r="G13" s="355" t="s">
        <v>114</v>
      </c>
      <c r="H13" s="356"/>
      <c r="I13" s="356"/>
      <c r="J13" s="357"/>
      <c r="K13" s="327" t="s">
        <v>58</v>
      </c>
    </row>
    <row r="14" spans="2:11" x14ac:dyDescent="0.2">
      <c r="B14" s="49"/>
      <c r="C14" s="323" t="s">
        <v>274</v>
      </c>
      <c r="D14" s="320" t="s">
        <v>208</v>
      </c>
      <c r="E14" s="321" t="s">
        <v>273</v>
      </c>
      <c r="F14" s="321" t="s">
        <v>277</v>
      </c>
      <c r="G14" s="320" t="s">
        <v>276</v>
      </c>
      <c r="H14" s="320" t="s">
        <v>275</v>
      </c>
      <c r="I14" s="321" t="s">
        <v>273</v>
      </c>
      <c r="J14" s="321" t="s">
        <v>79</v>
      </c>
      <c r="K14" s="328"/>
    </row>
    <row r="15" spans="2:11" x14ac:dyDescent="0.2">
      <c r="B15" s="345" t="s">
        <v>213</v>
      </c>
      <c r="C15" s="324">
        <f>'Moderate Projections'!E23</f>
        <v>80</v>
      </c>
      <c r="D15" s="322">
        <f>'Moderate Projections'!R15</f>
        <v>120</v>
      </c>
      <c r="E15" s="317">
        <f>'Moderate Projections'!R24</f>
        <v>62400</v>
      </c>
      <c r="F15" s="317"/>
      <c r="G15" s="322">
        <f>'Moderate Projections'!AI15</f>
        <v>90</v>
      </c>
      <c r="H15" s="322">
        <f>'Moderate Projections'!AI15+'Moderate Projections'!R15</f>
        <v>210</v>
      </c>
      <c r="I15" s="317">
        <f>'Moderate Projections'!AI24</f>
        <v>133200</v>
      </c>
      <c r="J15" s="317"/>
      <c r="K15" s="329"/>
    </row>
    <row r="16" spans="2:11" x14ac:dyDescent="0.2">
      <c r="B16" s="345" t="s">
        <v>242</v>
      </c>
      <c r="C16" s="324">
        <f>'Moderate Projections'!E25</f>
        <v>180</v>
      </c>
      <c r="D16" s="322">
        <f>'Moderate Projections'!R17</f>
        <v>150</v>
      </c>
      <c r="E16" s="317">
        <f>'Moderate Projections'!R26</f>
        <v>175500</v>
      </c>
      <c r="F16" s="317"/>
      <c r="G16" s="322">
        <f>'Moderate Projections'!AI17</f>
        <v>150</v>
      </c>
      <c r="H16" s="322">
        <f>G16+D16</f>
        <v>300</v>
      </c>
      <c r="I16" s="317">
        <f>'Moderate Projections'!AI26</f>
        <v>499500</v>
      </c>
      <c r="J16" s="317"/>
      <c r="K16" s="329"/>
    </row>
    <row r="17" spans="2:11" x14ac:dyDescent="0.2">
      <c r="B17" s="345" t="s">
        <v>243</v>
      </c>
      <c r="C17" s="324">
        <f>'Moderate Projections'!E27</f>
        <v>300</v>
      </c>
      <c r="D17" s="322">
        <f>'Moderate Projections'!R19</f>
        <v>30</v>
      </c>
      <c r="E17" s="317">
        <f>'Moderate Projections'!R28</f>
        <v>58500</v>
      </c>
      <c r="F17" s="317"/>
      <c r="G17" s="322">
        <f>'Moderate Projections'!AI19</f>
        <v>51</v>
      </c>
      <c r="H17" s="322">
        <f>G17+D17</f>
        <v>81</v>
      </c>
      <c r="I17" s="317">
        <f>'Moderate Projections'!AI28</f>
        <v>283050</v>
      </c>
      <c r="J17" s="317"/>
      <c r="K17" s="329"/>
    </row>
    <row r="18" spans="2:11" x14ac:dyDescent="0.2">
      <c r="B18" s="83" t="s">
        <v>58</v>
      </c>
      <c r="C18" s="83"/>
      <c r="D18" s="331">
        <f>SUM(D15:D17)</f>
        <v>300</v>
      </c>
      <c r="E18" s="332">
        <f>SUM(E15:E17)</f>
        <v>296400</v>
      </c>
      <c r="F18" s="332">
        <f>'Moderate Projections'!R12</f>
        <v>100000</v>
      </c>
      <c r="G18" s="331">
        <f>SUM(G15:G17)</f>
        <v>291</v>
      </c>
      <c r="H18" s="331">
        <f>SUM(H15:H17)</f>
        <v>591</v>
      </c>
      <c r="I18" s="332">
        <f>SUM(I15:I17)</f>
        <v>915750</v>
      </c>
      <c r="J18" s="332">
        <f>'Moderate Projections'!AI12</f>
        <v>150000</v>
      </c>
      <c r="K18" s="333">
        <f>J18+I18+F18+E18</f>
        <v>1462150</v>
      </c>
    </row>
    <row r="19" spans="2:11" x14ac:dyDescent="0.2">
      <c r="B19" s="39"/>
      <c r="C19" s="310"/>
      <c r="D19" s="310"/>
    </row>
    <row r="20" spans="2:11" x14ac:dyDescent="0.2">
      <c r="B20" s="359" t="s">
        <v>284</v>
      </c>
      <c r="C20" s="359"/>
      <c r="D20" s="359"/>
      <c r="E20" s="337"/>
    </row>
    <row r="21" spans="2:11" x14ac:dyDescent="0.2">
      <c r="B21" s="323" t="s">
        <v>281</v>
      </c>
      <c r="C21" s="334" t="s">
        <v>279</v>
      </c>
      <c r="D21" s="340" t="s">
        <v>280</v>
      </c>
      <c r="E21" s="335"/>
    </row>
    <row r="22" spans="2:11" x14ac:dyDescent="0.2">
      <c r="B22" s="106" t="s">
        <v>154</v>
      </c>
      <c r="C22" s="341"/>
      <c r="D22" s="342">
        <f>'Moderate Projections'!R43</f>
        <v>300000</v>
      </c>
      <c r="E22" s="336"/>
    </row>
    <row r="23" spans="2:11" x14ac:dyDescent="0.2">
      <c r="B23" s="338" t="s">
        <v>123</v>
      </c>
      <c r="C23" s="341"/>
      <c r="D23" s="342">
        <f>'Moderate Projections'!R44</f>
        <v>276</v>
      </c>
      <c r="E23" s="336"/>
    </row>
    <row r="24" spans="2:11" x14ac:dyDescent="0.2">
      <c r="B24" s="339" t="s">
        <v>282</v>
      </c>
      <c r="C24" s="341"/>
      <c r="D24" s="342">
        <f>'Moderate Projections'!R45</f>
        <v>35040</v>
      </c>
      <c r="E24" s="336"/>
    </row>
    <row r="25" spans="2:11" x14ac:dyDescent="0.2">
      <c r="B25" s="339" t="s">
        <v>250</v>
      </c>
      <c r="C25" s="341">
        <f>'Moderate Projections'!R46</f>
        <v>705000</v>
      </c>
      <c r="D25" s="342"/>
      <c r="E25" s="336"/>
    </row>
    <row r="26" spans="2:11" x14ac:dyDescent="0.2">
      <c r="B26" s="116" t="s">
        <v>129</v>
      </c>
      <c r="C26" s="341"/>
      <c r="D26" s="342">
        <f>'Moderate Projections'!R57</f>
        <v>14000</v>
      </c>
      <c r="E26" s="336"/>
    </row>
    <row r="27" spans="2:11" x14ac:dyDescent="0.2">
      <c r="B27" s="116" t="s">
        <v>135</v>
      </c>
      <c r="C27" s="341"/>
      <c r="D27" s="342">
        <f>'Moderate Projections'!R64</f>
        <v>56051.666666666664</v>
      </c>
      <c r="E27" s="336"/>
    </row>
    <row r="28" spans="2:11" x14ac:dyDescent="0.2">
      <c r="B28" s="116" t="s">
        <v>142</v>
      </c>
      <c r="C28" s="341">
        <f>'Moderate Projections'!R70</f>
        <v>230000</v>
      </c>
      <c r="D28" s="342"/>
      <c r="E28" s="336"/>
    </row>
    <row r="29" spans="2:11" x14ac:dyDescent="0.2">
      <c r="B29" s="116" t="s">
        <v>283</v>
      </c>
      <c r="C29" s="341"/>
      <c r="D29" s="342">
        <f>'Moderate Projections'!R79</f>
        <v>60600</v>
      </c>
      <c r="E29" s="336"/>
    </row>
    <row r="30" spans="2:11" x14ac:dyDescent="0.2">
      <c r="B30" s="297"/>
      <c r="C30" s="341"/>
      <c r="D30" s="342"/>
      <c r="E30" s="336"/>
    </row>
    <row r="31" spans="2:11" x14ac:dyDescent="0.2">
      <c r="B31" s="343" t="s">
        <v>58</v>
      </c>
      <c r="C31" s="344">
        <f>SUM(C22:C30)</f>
        <v>935000</v>
      </c>
      <c r="D31" s="344">
        <f>SUM(D22:D30)</f>
        <v>465967.66666666669</v>
      </c>
      <c r="E31" s="336"/>
    </row>
    <row r="36" spans="4:4" x14ac:dyDescent="0.2">
      <c r="D36" s="79" t="s">
        <v>261</v>
      </c>
    </row>
  </sheetData>
  <mergeCells count="5">
    <mergeCell ref="D13:F13"/>
    <mergeCell ref="G13:J13"/>
    <mergeCell ref="B12:K12"/>
    <mergeCell ref="B20:D20"/>
    <mergeCell ref="B4:D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D841-8987-F845-BA5E-EF1EC828B0A8}">
  <dimension ref="A1:S122"/>
  <sheetViews>
    <sheetView zoomScale="70" zoomScaleNormal="70" workbookViewId="0">
      <selection activeCell="P34" sqref="P34"/>
    </sheetView>
  </sheetViews>
  <sheetFormatPr baseColWidth="10" defaultColWidth="10.83203125" defaultRowHeight="14" outlineLevelRow="2" outlineLevelCol="1" x14ac:dyDescent="0.2"/>
  <cols>
    <col min="1" max="1" width="3.5" style="40" customWidth="1"/>
    <col min="2" max="2" width="61.6640625" style="40" bestFit="1" customWidth="1"/>
    <col min="3" max="3" width="20.6640625" style="40" bestFit="1" customWidth="1"/>
    <col min="4" max="4" width="17.5" style="40" bestFit="1" customWidth="1"/>
    <col min="5" max="5" width="11.6640625" style="40" bestFit="1" customWidth="1"/>
    <col min="6" max="6" width="15.83203125" style="40" customWidth="1" outlineLevel="1"/>
    <col min="7" max="7" width="16.33203125" style="40" customWidth="1" outlineLevel="1"/>
    <col min="8" max="8" width="15.5" style="40" customWidth="1" outlineLevel="1"/>
    <col min="9" max="9" width="15.83203125" style="40" customWidth="1" outlineLevel="1"/>
    <col min="10" max="10" width="16.5" style="40" customWidth="1" outlineLevel="1"/>
    <col min="11" max="11" width="15.6640625" style="40" customWidth="1" outlineLevel="1"/>
    <col min="12" max="13" width="16.1640625" style="40" customWidth="1" outlineLevel="1"/>
    <col min="14" max="17" width="15.5" style="40" customWidth="1" outlineLevel="1"/>
    <col min="18" max="18" width="13.5" style="40" bestFit="1" customWidth="1"/>
    <col min="19" max="16384" width="10.83203125" style="40"/>
  </cols>
  <sheetData>
    <row r="1" spans="2:18" x14ac:dyDescent="0.2">
      <c r="B1" s="39"/>
    </row>
    <row r="2" spans="2:18" x14ac:dyDescent="0.2">
      <c r="B2" s="41" t="s">
        <v>112</v>
      </c>
    </row>
    <row r="3" spans="2:18" x14ac:dyDescent="0.2">
      <c r="B3" s="41"/>
      <c r="F3" s="42" t="s">
        <v>294</v>
      </c>
      <c r="G3" s="42" t="s">
        <v>294</v>
      </c>
      <c r="H3" s="42" t="s">
        <v>294</v>
      </c>
      <c r="I3" s="42" t="s">
        <v>295</v>
      </c>
      <c r="J3" s="42" t="s">
        <v>296</v>
      </c>
      <c r="K3" s="42" t="s">
        <v>207</v>
      </c>
      <c r="L3" s="42" t="s">
        <v>207</v>
      </c>
      <c r="M3" s="42" t="s">
        <v>221</v>
      </c>
      <c r="N3" s="42" t="s">
        <v>221</v>
      </c>
      <c r="O3" s="42" t="s">
        <v>221</v>
      </c>
      <c r="P3" s="42" t="s">
        <v>221</v>
      </c>
      <c r="Q3" s="42" t="s">
        <v>297</v>
      </c>
    </row>
    <row r="4" spans="2:18" ht="30" customHeight="1" x14ac:dyDescent="0.2">
      <c r="B4" s="43"/>
      <c r="C4" s="44"/>
      <c r="D4" s="45"/>
      <c r="E4" s="45"/>
      <c r="F4" s="46" t="s">
        <v>193</v>
      </c>
      <c r="G4" s="46" t="s">
        <v>195</v>
      </c>
      <c r="H4" s="46" t="s">
        <v>196</v>
      </c>
      <c r="I4" s="46" t="s">
        <v>197</v>
      </c>
      <c r="J4" s="46" t="s">
        <v>198</v>
      </c>
      <c r="K4" s="46" t="s">
        <v>199</v>
      </c>
      <c r="L4" s="46" t="s">
        <v>200</v>
      </c>
      <c r="M4" s="46" t="s">
        <v>201</v>
      </c>
      <c r="N4" s="46" t="s">
        <v>202</v>
      </c>
      <c r="O4" s="46" t="s">
        <v>203</v>
      </c>
      <c r="P4" s="46" t="s">
        <v>204</v>
      </c>
      <c r="Q4" s="46" t="s">
        <v>205</v>
      </c>
      <c r="R4" s="47" t="s">
        <v>285</v>
      </c>
    </row>
    <row r="5" spans="2:18" x14ac:dyDescent="0.2">
      <c r="B5" s="159" t="s">
        <v>206</v>
      </c>
      <c r="C5" s="39"/>
      <c r="D5" s="39"/>
      <c r="E5" s="39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5"/>
    </row>
    <row r="6" spans="2:18" s="185" customFormat="1" x14ac:dyDescent="0.2">
      <c r="B6" s="160" t="s">
        <v>208</v>
      </c>
      <c r="C6" s="161"/>
      <c r="D6" s="57"/>
      <c r="E6" s="163"/>
      <c r="F6" s="164">
        <v>0</v>
      </c>
      <c r="G6" s="61">
        <v>5</v>
      </c>
      <c r="H6" s="61">
        <v>5</v>
      </c>
      <c r="I6" s="61">
        <v>10</v>
      </c>
      <c r="J6" s="61">
        <v>10</v>
      </c>
      <c r="K6" s="61">
        <v>10</v>
      </c>
      <c r="L6" s="61">
        <v>10</v>
      </c>
      <c r="M6" s="61">
        <v>25</v>
      </c>
      <c r="N6" s="61">
        <v>30</v>
      </c>
      <c r="O6" s="61">
        <v>40</v>
      </c>
      <c r="P6" s="61">
        <v>45</v>
      </c>
      <c r="Q6" s="61">
        <v>50</v>
      </c>
      <c r="R6" s="59"/>
    </row>
    <row r="7" spans="2:18" outlineLevel="1" x14ac:dyDescent="0.2">
      <c r="B7" s="75" t="s">
        <v>209</v>
      </c>
      <c r="C7" s="39"/>
      <c r="D7" s="162"/>
      <c r="E7" s="162"/>
      <c r="F7" s="65">
        <v>0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7">
        <f>D7</f>
        <v>0</v>
      </c>
    </row>
    <row r="8" spans="2:18" outlineLevel="1" x14ac:dyDescent="0.2">
      <c r="B8" s="75" t="s">
        <v>211</v>
      </c>
      <c r="C8" s="39"/>
      <c r="D8" s="39"/>
      <c r="E8" s="39"/>
      <c r="F8" s="179">
        <f>F7*F6</f>
        <v>0</v>
      </c>
      <c r="G8" s="180">
        <f t="shared" ref="G8:Q8" si="0">G7*G6</f>
        <v>0</v>
      </c>
      <c r="H8" s="180">
        <f t="shared" si="0"/>
        <v>0</v>
      </c>
      <c r="I8" s="180">
        <f t="shared" si="0"/>
        <v>0</v>
      </c>
      <c r="J8" s="180">
        <f t="shared" si="0"/>
        <v>0</v>
      </c>
      <c r="K8" s="180">
        <f t="shared" si="0"/>
        <v>0</v>
      </c>
      <c r="L8" s="180">
        <f t="shared" si="0"/>
        <v>0</v>
      </c>
      <c r="M8" s="180">
        <f t="shared" si="0"/>
        <v>0</v>
      </c>
      <c r="N8" s="180">
        <f t="shared" si="0"/>
        <v>0</v>
      </c>
      <c r="O8" s="180">
        <f t="shared" si="0"/>
        <v>0</v>
      </c>
      <c r="P8" s="180">
        <f t="shared" si="0"/>
        <v>0</v>
      </c>
      <c r="Q8" s="180">
        <f t="shared" si="0"/>
        <v>0</v>
      </c>
      <c r="R8" s="181">
        <f>SUM(F8:Q8)</f>
        <v>0</v>
      </c>
    </row>
    <row r="9" spans="2:18" s="186" customFormat="1" x14ac:dyDescent="0.2">
      <c r="B9" s="68" t="s">
        <v>210</v>
      </c>
      <c r="C9" s="69"/>
      <c r="D9" s="169"/>
      <c r="E9" s="171"/>
      <c r="F9" s="170">
        <f>F6-F8</f>
        <v>0</v>
      </c>
      <c r="G9" s="70">
        <f>(F9+G6)-G8</f>
        <v>5</v>
      </c>
      <c r="H9" s="70">
        <f t="shared" ref="H9:K9" si="1">(G9+H6)-H8</f>
        <v>10</v>
      </c>
      <c r="I9" s="70">
        <f t="shared" si="1"/>
        <v>20</v>
      </c>
      <c r="J9" s="70">
        <f t="shared" si="1"/>
        <v>30</v>
      </c>
      <c r="K9" s="70">
        <f t="shared" si="1"/>
        <v>40</v>
      </c>
      <c r="L9" s="70">
        <f>(K9+L6)-L8</f>
        <v>50</v>
      </c>
      <c r="M9" s="70">
        <f>(L9+M6)-M8</f>
        <v>75</v>
      </c>
      <c r="N9" s="70">
        <f t="shared" ref="N9:Q9" si="2">(M9+N6)-N8</f>
        <v>105</v>
      </c>
      <c r="O9" s="70">
        <f t="shared" si="2"/>
        <v>145</v>
      </c>
      <c r="P9" s="70">
        <f t="shared" si="2"/>
        <v>190</v>
      </c>
      <c r="Q9" s="70">
        <f t="shared" si="2"/>
        <v>240</v>
      </c>
      <c r="R9" s="71">
        <f>Q9</f>
        <v>240</v>
      </c>
    </row>
    <row r="10" spans="2:18" s="186" customFormat="1" x14ac:dyDescent="0.2">
      <c r="B10" s="74" t="s">
        <v>212</v>
      </c>
      <c r="C10" s="41"/>
      <c r="D10" s="166"/>
      <c r="E10" s="167"/>
      <c r="F10" s="165"/>
      <c r="G10" s="172"/>
      <c r="H10" s="172">
        <f t="shared" ref="H10:K10" si="3">(H9-G9)/G9</f>
        <v>1</v>
      </c>
      <c r="I10" s="172">
        <f t="shared" si="3"/>
        <v>1</v>
      </c>
      <c r="J10" s="172">
        <f t="shared" si="3"/>
        <v>0.5</v>
      </c>
      <c r="K10" s="172">
        <f t="shared" si="3"/>
        <v>0.33333333333333331</v>
      </c>
      <c r="L10" s="172">
        <f t="shared" ref="L10" si="4">(L9-K9)/K9</f>
        <v>0.25</v>
      </c>
      <c r="M10" s="172">
        <f t="shared" ref="M10" si="5">(M9-L9)/L9</f>
        <v>0.5</v>
      </c>
      <c r="N10" s="172">
        <f t="shared" ref="N10" si="6">(N9-M9)/M9</f>
        <v>0.4</v>
      </c>
      <c r="O10" s="172">
        <f t="shared" ref="O10" si="7">(O9-N9)/N9</f>
        <v>0.38095238095238093</v>
      </c>
      <c r="P10" s="172">
        <f t="shared" ref="P10" si="8">(P9-O9)/O9</f>
        <v>0.31034482758620691</v>
      </c>
      <c r="Q10" s="172">
        <f t="shared" ref="Q10" si="9">(Q9-P9)/P9</f>
        <v>0.26315789473684209</v>
      </c>
      <c r="R10" s="351">
        <f>SUM(F10:Q10)/8</f>
        <v>0.61722355457609546</v>
      </c>
    </row>
    <row r="11" spans="2:18" outlineLevel="1" x14ac:dyDescent="0.2">
      <c r="B11" s="182"/>
      <c r="C11" s="41"/>
      <c r="D11" s="73"/>
      <c r="E11" s="76"/>
      <c r="F11" s="173"/>
      <c r="G11" s="173"/>
      <c r="H11" s="173"/>
      <c r="I11" s="175"/>
      <c r="J11" s="173"/>
      <c r="K11" s="173"/>
      <c r="L11" s="173"/>
      <c r="M11" s="173"/>
      <c r="N11" s="173"/>
      <c r="O11" s="173"/>
      <c r="P11" s="173"/>
      <c r="Q11" s="173"/>
      <c r="R11" s="174"/>
    </row>
    <row r="12" spans="2:18" outlineLevel="1" x14ac:dyDescent="0.2">
      <c r="B12" s="183" t="s">
        <v>79</v>
      </c>
      <c r="C12" s="39"/>
      <c r="D12" s="39"/>
      <c r="E12" s="275">
        <v>500</v>
      </c>
      <c r="F12" s="276"/>
      <c r="G12" s="276"/>
      <c r="H12" s="276"/>
      <c r="I12" s="276"/>
      <c r="J12" s="276"/>
      <c r="K12" s="276"/>
      <c r="L12" s="276"/>
      <c r="M12" s="276">
        <f>$E$12*M6</f>
        <v>12500</v>
      </c>
      <c r="N12" s="276">
        <f t="shared" ref="N12:Q12" si="10">$E$12*N6</f>
        <v>15000</v>
      </c>
      <c r="O12" s="276">
        <f t="shared" si="10"/>
        <v>20000</v>
      </c>
      <c r="P12" s="276">
        <f t="shared" si="10"/>
        <v>22500</v>
      </c>
      <c r="Q12" s="276">
        <f t="shared" si="10"/>
        <v>25000</v>
      </c>
      <c r="R12" s="276">
        <f>SUM(F12:Q12)</f>
        <v>95000</v>
      </c>
    </row>
    <row r="13" spans="2:18" s="39" customFormat="1" outlineLevel="1" x14ac:dyDescent="0.2">
      <c r="B13" s="182"/>
      <c r="E13" s="176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</row>
    <row r="14" spans="2:18" s="39" customFormat="1" outlineLevel="1" x14ac:dyDescent="0.2">
      <c r="B14" s="182"/>
      <c r="D14" s="187" t="s">
        <v>214</v>
      </c>
      <c r="E14" s="178" t="s">
        <v>215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</row>
    <row r="15" spans="2:18" outlineLevel="1" x14ac:dyDescent="0.2">
      <c r="B15" s="183" t="s">
        <v>213</v>
      </c>
      <c r="C15" s="39"/>
      <c r="D15" s="188">
        <v>200</v>
      </c>
      <c r="E15" s="189">
        <v>0.4</v>
      </c>
      <c r="F15" s="190">
        <f t="shared" ref="F15:Q15" si="11">F6*$E$15</f>
        <v>0</v>
      </c>
      <c r="G15" s="190">
        <f t="shared" si="11"/>
        <v>2</v>
      </c>
      <c r="H15" s="190">
        <f t="shared" si="11"/>
        <v>2</v>
      </c>
      <c r="I15" s="190">
        <f t="shared" si="11"/>
        <v>4</v>
      </c>
      <c r="J15" s="190">
        <f t="shared" si="11"/>
        <v>4</v>
      </c>
      <c r="K15" s="190">
        <f t="shared" si="11"/>
        <v>4</v>
      </c>
      <c r="L15" s="190">
        <f t="shared" si="11"/>
        <v>4</v>
      </c>
      <c r="M15" s="190">
        <f t="shared" si="11"/>
        <v>10</v>
      </c>
      <c r="N15" s="190">
        <f t="shared" si="11"/>
        <v>12</v>
      </c>
      <c r="O15" s="190">
        <f t="shared" si="11"/>
        <v>16</v>
      </c>
      <c r="P15" s="190">
        <f t="shared" si="11"/>
        <v>18</v>
      </c>
      <c r="Q15" s="190">
        <f t="shared" si="11"/>
        <v>20</v>
      </c>
      <c r="R15" s="191">
        <f>SUM(F15:Q15)</f>
        <v>96</v>
      </c>
    </row>
    <row r="16" spans="2:18" outlineLevel="1" x14ac:dyDescent="0.2">
      <c r="B16" s="184" t="s">
        <v>216</v>
      </c>
      <c r="C16" s="39"/>
      <c r="D16" s="188"/>
      <c r="E16" s="189"/>
      <c r="F16" s="190"/>
      <c r="G16" s="190">
        <f t="shared" ref="G16:Q16" si="12">G9*$E$15</f>
        <v>2</v>
      </c>
      <c r="H16" s="190">
        <f t="shared" si="12"/>
        <v>4</v>
      </c>
      <c r="I16" s="190">
        <f t="shared" si="12"/>
        <v>8</v>
      </c>
      <c r="J16" s="190">
        <f t="shared" si="12"/>
        <v>12</v>
      </c>
      <c r="K16" s="190">
        <f t="shared" si="12"/>
        <v>16</v>
      </c>
      <c r="L16" s="190">
        <f t="shared" si="12"/>
        <v>20</v>
      </c>
      <c r="M16" s="190">
        <f t="shared" si="12"/>
        <v>30</v>
      </c>
      <c r="N16" s="190">
        <f t="shared" si="12"/>
        <v>42</v>
      </c>
      <c r="O16" s="190">
        <f t="shared" si="12"/>
        <v>58</v>
      </c>
      <c r="P16" s="190">
        <f t="shared" si="12"/>
        <v>76</v>
      </c>
      <c r="Q16" s="190">
        <f t="shared" si="12"/>
        <v>96</v>
      </c>
      <c r="R16" s="191"/>
    </row>
    <row r="17" spans="1:19" outlineLevel="1" x14ac:dyDescent="0.2">
      <c r="B17" s="183" t="s">
        <v>242</v>
      </c>
      <c r="C17" s="39"/>
      <c r="D17" s="192">
        <v>300</v>
      </c>
      <c r="E17" s="193">
        <v>0.5</v>
      </c>
      <c r="F17" s="194">
        <f t="shared" ref="F17:Q17" si="13">F6*$E$17</f>
        <v>0</v>
      </c>
      <c r="G17" s="194">
        <f t="shared" si="13"/>
        <v>2.5</v>
      </c>
      <c r="H17" s="194">
        <f t="shared" si="13"/>
        <v>2.5</v>
      </c>
      <c r="I17" s="194">
        <f t="shared" si="13"/>
        <v>5</v>
      </c>
      <c r="J17" s="194">
        <f t="shared" si="13"/>
        <v>5</v>
      </c>
      <c r="K17" s="194">
        <f t="shared" si="13"/>
        <v>5</v>
      </c>
      <c r="L17" s="194">
        <f t="shared" si="13"/>
        <v>5</v>
      </c>
      <c r="M17" s="194">
        <f t="shared" si="13"/>
        <v>12.5</v>
      </c>
      <c r="N17" s="194">
        <f t="shared" si="13"/>
        <v>15</v>
      </c>
      <c r="O17" s="194">
        <f t="shared" si="13"/>
        <v>20</v>
      </c>
      <c r="P17" s="194">
        <f t="shared" si="13"/>
        <v>22.5</v>
      </c>
      <c r="Q17" s="194">
        <f t="shared" si="13"/>
        <v>25</v>
      </c>
      <c r="R17" s="195">
        <f>SUM(F17:Q17)</f>
        <v>120</v>
      </c>
    </row>
    <row r="18" spans="1:19" outlineLevel="1" x14ac:dyDescent="0.2">
      <c r="B18" s="184" t="s">
        <v>216</v>
      </c>
      <c r="C18" s="39"/>
      <c r="D18" s="192"/>
      <c r="E18" s="193"/>
      <c r="F18" s="194"/>
      <c r="G18" s="194">
        <f t="shared" ref="G18:Q18" si="14">G9*$E$17</f>
        <v>2.5</v>
      </c>
      <c r="H18" s="194">
        <f t="shared" si="14"/>
        <v>5</v>
      </c>
      <c r="I18" s="194">
        <f t="shared" si="14"/>
        <v>10</v>
      </c>
      <c r="J18" s="194">
        <f t="shared" si="14"/>
        <v>15</v>
      </c>
      <c r="K18" s="194">
        <f t="shared" si="14"/>
        <v>20</v>
      </c>
      <c r="L18" s="194">
        <f t="shared" si="14"/>
        <v>25</v>
      </c>
      <c r="M18" s="194">
        <f t="shared" si="14"/>
        <v>37.5</v>
      </c>
      <c r="N18" s="194">
        <f t="shared" si="14"/>
        <v>52.5</v>
      </c>
      <c r="O18" s="194">
        <f t="shared" si="14"/>
        <v>72.5</v>
      </c>
      <c r="P18" s="194">
        <f t="shared" si="14"/>
        <v>95</v>
      </c>
      <c r="Q18" s="194">
        <f t="shared" si="14"/>
        <v>120</v>
      </c>
      <c r="R18" s="195"/>
    </row>
    <row r="19" spans="1:19" outlineLevel="1" x14ac:dyDescent="0.2">
      <c r="B19" s="183" t="s">
        <v>243</v>
      </c>
      <c r="C19" s="39"/>
      <c r="D19" s="196">
        <v>100</v>
      </c>
      <c r="E19" s="197">
        <v>0.1</v>
      </c>
      <c r="F19" s="198">
        <f t="shared" ref="F19:Q19" si="15">F6*$E$19</f>
        <v>0</v>
      </c>
      <c r="G19" s="198">
        <f t="shared" si="15"/>
        <v>0.5</v>
      </c>
      <c r="H19" s="198">
        <f t="shared" si="15"/>
        <v>0.5</v>
      </c>
      <c r="I19" s="198">
        <f t="shared" si="15"/>
        <v>1</v>
      </c>
      <c r="J19" s="198">
        <f t="shared" si="15"/>
        <v>1</v>
      </c>
      <c r="K19" s="198">
        <f t="shared" si="15"/>
        <v>1</v>
      </c>
      <c r="L19" s="198">
        <f t="shared" si="15"/>
        <v>1</v>
      </c>
      <c r="M19" s="198">
        <f t="shared" si="15"/>
        <v>2.5</v>
      </c>
      <c r="N19" s="198">
        <f t="shared" si="15"/>
        <v>3</v>
      </c>
      <c r="O19" s="198">
        <f t="shared" si="15"/>
        <v>4</v>
      </c>
      <c r="P19" s="198">
        <f t="shared" si="15"/>
        <v>4.5</v>
      </c>
      <c r="Q19" s="198">
        <f t="shared" si="15"/>
        <v>5</v>
      </c>
      <c r="R19" s="199">
        <f>SUM(F19:Q19)</f>
        <v>24</v>
      </c>
    </row>
    <row r="20" spans="1:19" outlineLevel="1" x14ac:dyDescent="0.2">
      <c r="B20" s="184" t="s">
        <v>216</v>
      </c>
      <c r="C20" s="39"/>
      <c r="D20" s="196"/>
      <c r="E20" s="200"/>
      <c r="F20" s="201"/>
      <c r="G20" s="201">
        <f t="shared" ref="G20:Q20" si="16">G9*$E$19</f>
        <v>0.5</v>
      </c>
      <c r="H20" s="201">
        <f t="shared" si="16"/>
        <v>1</v>
      </c>
      <c r="I20" s="201">
        <f t="shared" si="16"/>
        <v>2</v>
      </c>
      <c r="J20" s="201">
        <f t="shared" si="16"/>
        <v>3</v>
      </c>
      <c r="K20" s="201">
        <f t="shared" si="16"/>
        <v>4</v>
      </c>
      <c r="L20" s="201">
        <f t="shared" si="16"/>
        <v>5</v>
      </c>
      <c r="M20" s="201">
        <f t="shared" si="16"/>
        <v>7.5</v>
      </c>
      <c r="N20" s="201">
        <f t="shared" si="16"/>
        <v>10.5</v>
      </c>
      <c r="O20" s="201">
        <f t="shared" si="16"/>
        <v>14.5</v>
      </c>
      <c r="P20" s="201">
        <f t="shared" si="16"/>
        <v>19</v>
      </c>
      <c r="Q20" s="201">
        <f t="shared" si="16"/>
        <v>24</v>
      </c>
      <c r="R20" s="202"/>
    </row>
    <row r="21" spans="1:19" s="39" customFormat="1" outlineLevel="1" x14ac:dyDescent="0.2">
      <c r="B21" s="209"/>
      <c r="D21" s="208"/>
      <c r="E21" s="205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</row>
    <row r="22" spans="1:19" s="39" customFormat="1" outlineLevel="1" x14ac:dyDescent="0.2">
      <c r="A22" s="98"/>
      <c r="B22" s="203"/>
      <c r="D22" s="204"/>
      <c r="E22" s="178" t="s">
        <v>220</v>
      </c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</row>
    <row r="23" spans="1:19" outlineLevel="1" x14ac:dyDescent="0.2">
      <c r="B23" s="183" t="s">
        <v>217</v>
      </c>
      <c r="C23" s="39"/>
      <c r="D23" s="206"/>
      <c r="E23" s="211">
        <v>100</v>
      </c>
      <c r="F23" s="212">
        <f>F15*$E$23</f>
        <v>0</v>
      </c>
      <c r="G23" s="223">
        <f t="shared" ref="G23:Q24" si="17">G15*$E$23</f>
        <v>200</v>
      </c>
      <c r="H23" s="223">
        <f t="shared" si="17"/>
        <v>200</v>
      </c>
      <c r="I23" s="223">
        <f t="shared" si="17"/>
        <v>400</v>
      </c>
      <c r="J23" s="223">
        <f t="shared" si="17"/>
        <v>400</v>
      </c>
      <c r="K23" s="223">
        <f t="shared" si="17"/>
        <v>400</v>
      </c>
      <c r="L23" s="223">
        <f t="shared" si="17"/>
        <v>400</v>
      </c>
      <c r="M23" s="223">
        <f t="shared" si="17"/>
        <v>1000</v>
      </c>
      <c r="N23" s="223">
        <f t="shared" ref="N23:P23" si="18">N15*$E$23</f>
        <v>1200</v>
      </c>
      <c r="O23" s="223">
        <f t="shared" si="18"/>
        <v>1600</v>
      </c>
      <c r="P23" s="223">
        <f t="shared" si="18"/>
        <v>1800</v>
      </c>
      <c r="Q23" s="223">
        <f t="shared" si="17"/>
        <v>2000</v>
      </c>
      <c r="R23" s="213"/>
    </row>
    <row r="24" spans="1:19" outlineLevel="1" x14ac:dyDescent="0.2">
      <c r="B24" s="184" t="s">
        <v>216</v>
      </c>
      <c r="C24" s="39"/>
      <c r="D24" s="206"/>
      <c r="E24" s="211"/>
      <c r="F24" s="214"/>
      <c r="G24" s="229">
        <f>G16*$E$23</f>
        <v>200</v>
      </c>
      <c r="H24" s="229">
        <f t="shared" si="17"/>
        <v>400</v>
      </c>
      <c r="I24" s="229">
        <f t="shared" si="17"/>
        <v>800</v>
      </c>
      <c r="J24" s="229">
        <f t="shared" si="17"/>
        <v>1200</v>
      </c>
      <c r="K24" s="229">
        <f t="shared" si="17"/>
        <v>1600</v>
      </c>
      <c r="L24" s="229">
        <f t="shared" si="17"/>
        <v>2000</v>
      </c>
      <c r="M24" s="229">
        <f t="shared" si="17"/>
        <v>3000</v>
      </c>
      <c r="N24" s="229">
        <f t="shared" ref="N24:P24" si="19">N16*$E$23</f>
        <v>4200</v>
      </c>
      <c r="O24" s="229">
        <f t="shared" si="19"/>
        <v>5800</v>
      </c>
      <c r="P24" s="229">
        <f t="shared" si="19"/>
        <v>7600</v>
      </c>
      <c r="Q24" s="229">
        <f t="shared" si="17"/>
        <v>9600</v>
      </c>
      <c r="R24" s="230">
        <f>SUM(F24:Q24)+F23</f>
        <v>36400</v>
      </c>
    </row>
    <row r="25" spans="1:19" outlineLevel="1" x14ac:dyDescent="0.2">
      <c r="B25" s="183" t="s">
        <v>218</v>
      </c>
      <c r="C25" s="39"/>
      <c r="D25" s="207"/>
      <c r="E25" s="215">
        <v>180</v>
      </c>
      <c r="F25" s="216">
        <f>F17*$E$25</f>
        <v>0</v>
      </c>
      <c r="G25" s="224">
        <f t="shared" ref="G25:Q26" si="20">G17*$E$25</f>
        <v>450</v>
      </c>
      <c r="H25" s="224">
        <f t="shared" si="20"/>
        <v>450</v>
      </c>
      <c r="I25" s="224">
        <f t="shared" si="20"/>
        <v>900</v>
      </c>
      <c r="J25" s="224">
        <f t="shared" si="20"/>
        <v>900</v>
      </c>
      <c r="K25" s="224">
        <f t="shared" si="20"/>
        <v>900</v>
      </c>
      <c r="L25" s="224">
        <f t="shared" si="20"/>
        <v>900</v>
      </c>
      <c r="M25" s="224">
        <f t="shared" si="20"/>
        <v>2250</v>
      </c>
      <c r="N25" s="224">
        <f t="shared" ref="N25:P25" si="21">N17*$E$25</f>
        <v>2700</v>
      </c>
      <c r="O25" s="224">
        <f t="shared" si="21"/>
        <v>3600</v>
      </c>
      <c r="P25" s="224">
        <f t="shared" si="21"/>
        <v>4050</v>
      </c>
      <c r="Q25" s="224">
        <f t="shared" si="20"/>
        <v>4500</v>
      </c>
      <c r="R25" s="217"/>
    </row>
    <row r="26" spans="1:19" outlineLevel="1" x14ac:dyDescent="0.2">
      <c r="B26" s="184" t="s">
        <v>216</v>
      </c>
      <c r="C26" s="39"/>
      <c r="D26" s="207"/>
      <c r="E26" s="215"/>
      <c r="F26" s="218"/>
      <c r="G26" s="231">
        <f>G18*$E$25</f>
        <v>450</v>
      </c>
      <c r="H26" s="231">
        <f t="shared" si="20"/>
        <v>900</v>
      </c>
      <c r="I26" s="231">
        <f t="shared" si="20"/>
        <v>1800</v>
      </c>
      <c r="J26" s="231">
        <f t="shared" si="20"/>
        <v>2700</v>
      </c>
      <c r="K26" s="231">
        <f t="shared" si="20"/>
        <v>3600</v>
      </c>
      <c r="L26" s="231">
        <f t="shared" si="20"/>
        <v>4500</v>
      </c>
      <c r="M26" s="231">
        <f t="shared" si="20"/>
        <v>6750</v>
      </c>
      <c r="N26" s="231">
        <f t="shared" ref="N26:P26" si="22">N18*$E$25</f>
        <v>9450</v>
      </c>
      <c r="O26" s="231">
        <f t="shared" si="22"/>
        <v>13050</v>
      </c>
      <c r="P26" s="231">
        <f t="shared" si="22"/>
        <v>17100</v>
      </c>
      <c r="Q26" s="231">
        <f>Q18*$E$25</f>
        <v>21600</v>
      </c>
      <c r="R26" s="232">
        <f>SUM(G26:Q26)+F25</f>
        <v>81900</v>
      </c>
    </row>
    <row r="27" spans="1:19" outlineLevel="1" x14ac:dyDescent="0.2">
      <c r="B27" s="183" t="s">
        <v>219</v>
      </c>
      <c r="C27" s="39"/>
      <c r="D27" s="208"/>
      <c r="E27" s="219">
        <v>300</v>
      </c>
      <c r="F27" s="220">
        <f>F19*$E$27</f>
        <v>0</v>
      </c>
      <c r="G27" s="225">
        <f t="shared" ref="G27:Q28" si="23">G19*$E$27</f>
        <v>150</v>
      </c>
      <c r="H27" s="225">
        <f t="shared" si="23"/>
        <v>150</v>
      </c>
      <c r="I27" s="225">
        <f t="shared" si="23"/>
        <v>300</v>
      </c>
      <c r="J27" s="225">
        <f t="shared" si="23"/>
        <v>300</v>
      </c>
      <c r="K27" s="225">
        <f t="shared" si="23"/>
        <v>300</v>
      </c>
      <c r="L27" s="225">
        <f t="shared" si="23"/>
        <v>300</v>
      </c>
      <c r="M27" s="225">
        <f t="shared" si="23"/>
        <v>750</v>
      </c>
      <c r="N27" s="225">
        <f t="shared" ref="N27:P27" si="24">N19*$E$27</f>
        <v>900</v>
      </c>
      <c r="O27" s="225">
        <f t="shared" si="24"/>
        <v>1200</v>
      </c>
      <c r="P27" s="225">
        <f t="shared" si="24"/>
        <v>1350</v>
      </c>
      <c r="Q27" s="225">
        <f t="shared" si="23"/>
        <v>1500</v>
      </c>
      <c r="R27" s="221"/>
    </row>
    <row r="28" spans="1:19" outlineLevel="1" x14ac:dyDescent="0.2">
      <c r="B28" s="184" t="s">
        <v>216</v>
      </c>
      <c r="C28" s="39"/>
      <c r="D28" s="208"/>
      <c r="E28" s="219"/>
      <c r="F28" s="222"/>
      <c r="G28" s="233">
        <f>G20*$E$27</f>
        <v>150</v>
      </c>
      <c r="H28" s="233">
        <f t="shared" si="23"/>
        <v>300</v>
      </c>
      <c r="I28" s="233">
        <f t="shared" si="23"/>
        <v>600</v>
      </c>
      <c r="J28" s="233">
        <f t="shared" si="23"/>
        <v>900</v>
      </c>
      <c r="K28" s="233">
        <f t="shared" si="23"/>
        <v>1200</v>
      </c>
      <c r="L28" s="233">
        <f t="shared" si="23"/>
        <v>1500</v>
      </c>
      <c r="M28" s="233">
        <f t="shared" si="23"/>
        <v>2250</v>
      </c>
      <c r="N28" s="233">
        <f t="shared" ref="N28:P28" si="25">N20*$E$27</f>
        <v>3150</v>
      </c>
      <c r="O28" s="233">
        <f t="shared" si="25"/>
        <v>4350</v>
      </c>
      <c r="P28" s="233">
        <f t="shared" si="25"/>
        <v>5700</v>
      </c>
      <c r="Q28" s="233">
        <f t="shared" si="23"/>
        <v>7200</v>
      </c>
      <c r="R28" s="234">
        <f>SUM(G28:Q28)+F27</f>
        <v>27300</v>
      </c>
    </row>
    <row r="29" spans="1:19" s="39" customFormat="1" outlineLevel="1" x14ac:dyDescent="0.2">
      <c r="B29" s="237"/>
      <c r="D29" s="77"/>
      <c r="E29" s="7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9" s="39" customFormat="1" outlineLevel="1" x14ac:dyDescent="0.2">
      <c r="B30" s="237"/>
      <c r="D30" s="80"/>
      <c r="E30" s="235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</row>
    <row r="31" spans="1:19" s="186" customFormat="1" x14ac:dyDescent="0.2">
      <c r="B31" s="83" t="s">
        <v>210</v>
      </c>
      <c r="C31" s="41"/>
      <c r="D31" s="41"/>
      <c r="E31" s="41"/>
      <c r="F31" s="273">
        <f>F15+F17+F19</f>
        <v>0</v>
      </c>
      <c r="G31" s="273">
        <f>G16+G18+G20</f>
        <v>5</v>
      </c>
      <c r="H31" s="273">
        <f t="shared" ref="H31:Q31" si="26">H16+H18+H20</f>
        <v>10</v>
      </c>
      <c r="I31" s="273">
        <f t="shared" si="26"/>
        <v>20</v>
      </c>
      <c r="J31" s="273">
        <f t="shared" si="26"/>
        <v>30</v>
      </c>
      <c r="K31" s="273">
        <f t="shared" si="26"/>
        <v>40</v>
      </c>
      <c r="L31" s="273">
        <f t="shared" si="26"/>
        <v>50</v>
      </c>
      <c r="M31" s="273">
        <f t="shared" si="26"/>
        <v>75</v>
      </c>
      <c r="N31" s="273">
        <f t="shared" ref="N31:P31" si="27">N16+N18+N20</f>
        <v>105</v>
      </c>
      <c r="O31" s="273">
        <f t="shared" si="27"/>
        <v>145</v>
      </c>
      <c r="P31" s="273">
        <f t="shared" si="27"/>
        <v>190</v>
      </c>
      <c r="Q31" s="273">
        <f t="shared" si="26"/>
        <v>240</v>
      </c>
      <c r="R31" s="273">
        <f>Q31</f>
        <v>240</v>
      </c>
    </row>
    <row r="32" spans="1:19" s="186" customFormat="1" x14ac:dyDescent="0.2">
      <c r="B32" s="83" t="s">
        <v>244</v>
      </c>
      <c r="C32" s="41"/>
      <c r="D32" s="41"/>
      <c r="E32" s="41"/>
      <c r="F32" s="274">
        <f>F23+F25+F27+F12</f>
        <v>0</v>
      </c>
      <c r="G32" s="274">
        <f t="shared" ref="G32:Q32" si="28">G24+G26+G28+G12</f>
        <v>800</v>
      </c>
      <c r="H32" s="274">
        <f t="shared" si="28"/>
        <v>1600</v>
      </c>
      <c r="I32" s="274">
        <f t="shared" si="28"/>
        <v>3200</v>
      </c>
      <c r="J32" s="274">
        <f t="shared" si="28"/>
        <v>4800</v>
      </c>
      <c r="K32" s="274">
        <f t="shared" si="28"/>
        <v>6400</v>
      </c>
      <c r="L32" s="274">
        <f t="shared" si="28"/>
        <v>8000</v>
      </c>
      <c r="M32" s="274">
        <f t="shared" si="28"/>
        <v>24500</v>
      </c>
      <c r="N32" s="274">
        <f t="shared" si="28"/>
        <v>31800</v>
      </c>
      <c r="O32" s="274">
        <f t="shared" si="28"/>
        <v>43200</v>
      </c>
      <c r="P32" s="274">
        <f t="shared" si="28"/>
        <v>52900</v>
      </c>
      <c r="Q32" s="274">
        <f t="shared" si="28"/>
        <v>63400</v>
      </c>
      <c r="R32" s="274">
        <f>SUM(F32:Q32)</f>
        <v>240600</v>
      </c>
      <c r="S32" s="352"/>
    </row>
    <row r="33" spans="2:18" s="39" customFormat="1" x14ac:dyDescent="0.2">
      <c r="B33" s="270"/>
    </row>
    <row r="34" spans="2:18" s="39" customFormat="1" x14ac:dyDescent="0.2">
      <c r="R34" s="271"/>
    </row>
    <row r="35" spans="2:18" s="39" customFormat="1" x14ac:dyDescent="0.2">
      <c r="B35" s="272" t="s">
        <v>117</v>
      </c>
    </row>
    <row r="36" spans="2:18" outlineLevel="1" x14ac:dyDescent="0.2">
      <c r="B36" s="87" t="s">
        <v>290</v>
      </c>
      <c r="C36" s="49" t="s">
        <v>115</v>
      </c>
      <c r="D36" s="88" t="s">
        <v>116</v>
      </c>
      <c r="E36" s="89"/>
      <c r="F36" s="282"/>
      <c r="G36" s="281"/>
      <c r="H36" s="281"/>
      <c r="I36" s="281"/>
      <c r="J36" s="281"/>
      <c r="K36" s="281"/>
      <c r="L36" s="281"/>
      <c r="M36" s="281">
        <v>1</v>
      </c>
      <c r="N36" s="281">
        <v>1</v>
      </c>
      <c r="O36" s="281">
        <v>1</v>
      </c>
      <c r="P36" s="281">
        <v>1</v>
      </c>
      <c r="Q36" s="281">
        <v>1</v>
      </c>
      <c r="R36" s="284">
        <f>Q36</f>
        <v>1</v>
      </c>
    </row>
    <row r="37" spans="2:18" outlineLevel="1" x14ac:dyDescent="0.2">
      <c r="B37" s="87" t="s">
        <v>246</v>
      </c>
      <c r="C37" s="49" t="s">
        <v>115</v>
      </c>
      <c r="D37" s="88" t="s">
        <v>116</v>
      </c>
      <c r="E37" s="89"/>
      <c r="F37" s="278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7">
        <f>Q37</f>
        <v>0</v>
      </c>
    </row>
    <row r="38" spans="2:18" x14ac:dyDescent="0.2">
      <c r="B38" s="90" t="s">
        <v>119</v>
      </c>
      <c r="C38" s="91"/>
      <c r="D38" s="92"/>
      <c r="E38" s="93"/>
      <c r="F38" s="278">
        <f t="shared" ref="F38:Q38" si="29">SUM(F36:F37)</f>
        <v>0</v>
      </c>
      <c r="G38" s="279">
        <f t="shared" si="29"/>
        <v>0</v>
      </c>
      <c r="H38" s="279">
        <f t="shared" si="29"/>
        <v>0</v>
      </c>
      <c r="I38" s="279">
        <f t="shared" si="29"/>
        <v>0</v>
      </c>
      <c r="J38" s="279">
        <f t="shared" si="29"/>
        <v>0</v>
      </c>
      <c r="K38" s="279">
        <f t="shared" si="29"/>
        <v>0</v>
      </c>
      <c r="L38" s="279">
        <f t="shared" si="29"/>
        <v>0</v>
      </c>
      <c r="M38" s="279">
        <f t="shared" si="29"/>
        <v>1</v>
      </c>
      <c r="N38" s="279">
        <f t="shared" si="29"/>
        <v>1</v>
      </c>
      <c r="O38" s="279">
        <f t="shared" si="29"/>
        <v>1</v>
      </c>
      <c r="P38" s="279">
        <f t="shared" si="29"/>
        <v>1</v>
      </c>
      <c r="Q38" s="279">
        <f t="shared" si="29"/>
        <v>1</v>
      </c>
      <c r="R38" s="63">
        <f>Q38</f>
        <v>1</v>
      </c>
    </row>
    <row r="39" spans="2:18" x14ac:dyDescent="0.2">
      <c r="B39" s="86"/>
      <c r="C39" s="49"/>
      <c r="D39" s="98"/>
      <c r="E39" s="99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5"/>
    </row>
    <row r="40" spans="2:18" x14ac:dyDescent="0.2">
      <c r="B40" s="48" t="s">
        <v>120</v>
      </c>
      <c r="C40" s="49"/>
      <c r="D40" s="98"/>
      <c r="E40" s="99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5"/>
    </row>
    <row r="41" spans="2:18" x14ac:dyDescent="0.2">
      <c r="B41" s="86" t="s">
        <v>121</v>
      </c>
      <c r="C41" s="49"/>
      <c r="D41" s="98"/>
      <c r="E41" s="99"/>
      <c r="F41" s="100">
        <f>F32</f>
        <v>0</v>
      </c>
      <c r="G41" s="100">
        <f t="shared" ref="G41:Q41" si="30">G32</f>
        <v>800</v>
      </c>
      <c r="H41" s="100">
        <f t="shared" si="30"/>
        <v>1600</v>
      </c>
      <c r="I41" s="100">
        <f t="shared" si="30"/>
        <v>3200</v>
      </c>
      <c r="J41" s="100">
        <f t="shared" si="30"/>
        <v>4800</v>
      </c>
      <c r="K41" s="100">
        <f t="shared" si="30"/>
        <v>6400</v>
      </c>
      <c r="L41" s="100">
        <f t="shared" si="30"/>
        <v>8000</v>
      </c>
      <c r="M41" s="100">
        <f t="shared" si="30"/>
        <v>24500</v>
      </c>
      <c r="N41" s="100">
        <f t="shared" ref="N41:P41" si="31">N32</f>
        <v>31800</v>
      </c>
      <c r="O41" s="100">
        <f t="shared" si="31"/>
        <v>43200</v>
      </c>
      <c r="P41" s="100">
        <f t="shared" si="31"/>
        <v>52900</v>
      </c>
      <c r="Q41" s="100">
        <f t="shared" si="30"/>
        <v>63400</v>
      </c>
      <c r="R41" s="84">
        <f>SUM(F41:Q41)</f>
        <v>240600</v>
      </c>
    </row>
    <row r="42" spans="2:18" outlineLevel="1" x14ac:dyDescent="0.2">
      <c r="B42" s="101" t="s">
        <v>122</v>
      </c>
      <c r="C42" s="285"/>
      <c r="D42" s="39"/>
      <c r="E42" s="99"/>
      <c r="F42" s="81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5"/>
    </row>
    <row r="43" spans="2:18" outlineLevel="1" x14ac:dyDescent="0.2">
      <c r="B43" s="106" t="s">
        <v>154</v>
      </c>
      <c r="C43" s="49" t="s">
        <v>249</v>
      </c>
      <c r="D43" s="117">
        <v>0</v>
      </c>
      <c r="E43" s="286"/>
      <c r="F43" s="81">
        <f>$D$43</f>
        <v>0</v>
      </c>
      <c r="G43" s="81">
        <f t="shared" ref="G43:Q43" si="32">$D$43</f>
        <v>0</v>
      </c>
      <c r="H43" s="81">
        <f t="shared" si="32"/>
        <v>0</v>
      </c>
      <c r="I43" s="81">
        <f t="shared" si="32"/>
        <v>0</v>
      </c>
      <c r="J43" s="81">
        <f t="shared" si="32"/>
        <v>0</v>
      </c>
      <c r="K43" s="81">
        <f t="shared" si="32"/>
        <v>0</v>
      </c>
      <c r="L43" s="81">
        <f t="shared" si="32"/>
        <v>0</v>
      </c>
      <c r="M43" s="81">
        <f t="shared" si="32"/>
        <v>0</v>
      </c>
      <c r="N43" s="81">
        <f t="shared" si="32"/>
        <v>0</v>
      </c>
      <c r="O43" s="81">
        <f t="shared" si="32"/>
        <v>0</v>
      </c>
      <c r="P43" s="81">
        <f t="shared" si="32"/>
        <v>0</v>
      </c>
      <c r="Q43" s="81">
        <f t="shared" si="32"/>
        <v>0</v>
      </c>
      <c r="R43" s="105">
        <f>SUM(F43:Q43)</f>
        <v>0</v>
      </c>
    </row>
    <row r="44" spans="2:18" outlineLevel="1" x14ac:dyDescent="0.2">
      <c r="B44" s="106" t="s">
        <v>123</v>
      </c>
      <c r="C44" s="107">
        <v>0.23</v>
      </c>
      <c r="D44" s="60">
        <v>100</v>
      </c>
      <c r="E44" s="108" t="s">
        <v>248</v>
      </c>
      <c r="F44" s="81">
        <f>$D$44*$C$44</f>
        <v>23</v>
      </c>
      <c r="G44" s="81">
        <f>($D$44*$C$44)+F44</f>
        <v>46</v>
      </c>
      <c r="H44" s="81">
        <f t="shared" ref="H44:Q44" si="33">($D$44*$C$44)+G44</f>
        <v>69</v>
      </c>
      <c r="I44" s="81">
        <f t="shared" si="33"/>
        <v>92</v>
      </c>
      <c r="J44" s="81">
        <f t="shared" si="33"/>
        <v>115</v>
      </c>
      <c r="K44" s="81">
        <f t="shared" si="33"/>
        <v>138</v>
      </c>
      <c r="L44" s="81">
        <f t="shared" si="33"/>
        <v>161</v>
      </c>
      <c r="M44" s="81">
        <f t="shared" si="33"/>
        <v>184</v>
      </c>
      <c r="N44" s="81">
        <f t="shared" si="33"/>
        <v>207</v>
      </c>
      <c r="O44" s="81">
        <f t="shared" si="33"/>
        <v>230</v>
      </c>
      <c r="P44" s="81">
        <f t="shared" si="33"/>
        <v>253</v>
      </c>
      <c r="Q44" s="81">
        <f t="shared" si="33"/>
        <v>276</v>
      </c>
      <c r="R44" s="105">
        <f>SUM(F44:Q44)</f>
        <v>1794</v>
      </c>
    </row>
    <row r="45" spans="2:18" ht="15" outlineLevel="1" x14ac:dyDescent="0.2">
      <c r="B45" s="109" t="s">
        <v>124</v>
      </c>
      <c r="C45" s="289">
        <v>0</v>
      </c>
      <c r="D45" s="290">
        <v>24</v>
      </c>
      <c r="E45" s="108" t="s">
        <v>125</v>
      </c>
      <c r="F45" s="81">
        <f>((($C$45*$D$45)*365)/12)</f>
        <v>0</v>
      </c>
      <c r="G45" s="81">
        <f t="shared" ref="G45:Q45" si="34">((($C$45*$D$45)*365)/12)</f>
        <v>0</v>
      </c>
      <c r="H45" s="81">
        <f t="shared" si="34"/>
        <v>0</v>
      </c>
      <c r="I45" s="81">
        <f t="shared" si="34"/>
        <v>0</v>
      </c>
      <c r="J45" s="81">
        <f t="shared" si="34"/>
        <v>0</v>
      </c>
      <c r="K45" s="81">
        <f t="shared" si="34"/>
        <v>0</v>
      </c>
      <c r="L45" s="81">
        <f t="shared" si="34"/>
        <v>0</v>
      </c>
      <c r="M45" s="81">
        <f t="shared" si="34"/>
        <v>0</v>
      </c>
      <c r="N45" s="81">
        <f t="shared" si="34"/>
        <v>0</v>
      </c>
      <c r="O45" s="81">
        <f t="shared" si="34"/>
        <v>0</v>
      </c>
      <c r="P45" s="81">
        <f t="shared" si="34"/>
        <v>0</v>
      </c>
      <c r="Q45" s="81">
        <f t="shared" si="34"/>
        <v>0</v>
      </c>
      <c r="R45" s="105">
        <f>SUM(F45:Q45)</f>
        <v>0</v>
      </c>
    </row>
    <row r="46" spans="2:18" ht="15" outlineLevel="1" x14ac:dyDescent="0.2">
      <c r="B46" s="109" t="s">
        <v>298</v>
      </c>
      <c r="C46" s="289">
        <f>705000+200000</f>
        <v>905000</v>
      </c>
      <c r="D46" s="60">
        <v>8</v>
      </c>
      <c r="E46" s="286" t="s">
        <v>251</v>
      </c>
      <c r="F46" s="81">
        <f>$C$46/$D$46</f>
        <v>113125</v>
      </c>
      <c r="G46" s="81">
        <f t="shared" ref="G46:M46" si="35">$C$46/$D$46</f>
        <v>113125</v>
      </c>
      <c r="H46" s="81">
        <f t="shared" si="35"/>
        <v>113125</v>
      </c>
      <c r="I46" s="81">
        <f t="shared" si="35"/>
        <v>113125</v>
      </c>
      <c r="J46" s="81">
        <f t="shared" si="35"/>
        <v>113125</v>
      </c>
      <c r="K46" s="81">
        <f t="shared" si="35"/>
        <v>113125</v>
      </c>
      <c r="L46" s="81">
        <f t="shared" si="35"/>
        <v>113125</v>
      </c>
      <c r="M46" s="81">
        <f t="shared" si="35"/>
        <v>113125</v>
      </c>
      <c r="N46" s="81"/>
      <c r="O46" s="81"/>
      <c r="P46" s="81"/>
      <c r="Q46" s="81"/>
      <c r="R46" s="105">
        <f>SUM(F46:Q46)</f>
        <v>905000</v>
      </c>
    </row>
    <row r="47" spans="2:18" outlineLevel="1" x14ac:dyDescent="0.2">
      <c r="B47" s="109"/>
      <c r="C47" s="287"/>
      <c r="D47" s="288"/>
      <c r="E47" s="286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105"/>
    </row>
    <row r="48" spans="2:18" x14ac:dyDescent="0.2">
      <c r="B48" s="86" t="s">
        <v>126</v>
      </c>
      <c r="C48" s="49"/>
      <c r="D48" s="98"/>
      <c r="E48" s="39"/>
      <c r="F48" s="110">
        <f t="shared" ref="F48:Q48" si="36">F41-SUM(F43:F47)</f>
        <v>-113148</v>
      </c>
      <c r="G48" s="110">
        <f t="shared" si="36"/>
        <v>-112371</v>
      </c>
      <c r="H48" s="110">
        <f t="shared" si="36"/>
        <v>-111594</v>
      </c>
      <c r="I48" s="110">
        <f t="shared" si="36"/>
        <v>-110017</v>
      </c>
      <c r="J48" s="110">
        <f t="shared" si="36"/>
        <v>-108440</v>
      </c>
      <c r="K48" s="110">
        <f t="shared" si="36"/>
        <v>-106863</v>
      </c>
      <c r="L48" s="110">
        <f t="shared" si="36"/>
        <v>-105286</v>
      </c>
      <c r="M48" s="110">
        <f t="shared" si="36"/>
        <v>-88809</v>
      </c>
      <c r="N48" s="110">
        <f t="shared" si="36"/>
        <v>31593</v>
      </c>
      <c r="O48" s="110">
        <f t="shared" si="36"/>
        <v>42970</v>
      </c>
      <c r="P48" s="110">
        <f t="shared" si="36"/>
        <v>52647</v>
      </c>
      <c r="Q48" s="110">
        <f t="shared" si="36"/>
        <v>63124</v>
      </c>
      <c r="R48" s="110">
        <f>SUM(F48:Q48)</f>
        <v>-666194</v>
      </c>
    </row>
    <row r="49" spans="2:18" x14ac:dyDescent="0.2">
      <c r="B49" s="102" t="s">
        <v>127</v>
      </c>
      <c r="C49" s="49"/>
      <c r="D49" s="98"/>
      <c r="E49" s="99"/>
      <c r="F49" s="111" t="e">
        <f t="shared" ref="F49:R49" si="37">F48/F41</f>
        <v>#DIV/0!</v>
      </c>
      <c r="G49" s="111">
        <f t="shared" si="37"/>
        <v>-140.46375</v>
      </c>
      <c r="H49" s="111">
        <f t="shared" si="37"/>
        <v>-69.746250000000003</v>
      </c>
      <c r="I49" s="111">
        <f t="shared" si="37"/>
        <v>-34.380312500000002</v>
      </c>
      <c r="J49" s="111">
        <f t="shared" si="37"/>
        <v>-22.591666666666665</v>
      </c>
      <c r="K49" s="111">
        <f t="shared" si="37"/>
        <v>-16.697343750000002</v>
      </c>
      <c r="L49" s="111">
        <f t="shared" si="37"/>
        <v>-13.16075</v>
      </c>
      <c r="M49" s="111">
        <f t="shared" si="37"/>
        <v>-3.624857142857143</v>
      </c>
      <c r="N49" s="111">
        <f t="shared" si="37"/>
        <v>0.99349056603773589</v>
      </c>
      <c r="O49" s="111">
        <f t="shared" si="37"/>
        <v>0.99467592592592591</v>
      </c>
      <c r="P49" s="111">
        <f t="shared" si="37"/>
        <v>0.99521739130434783</v>
      </c>
      <c r="Q49" s="111">
        <f t="shared" si="37"/>
        <v>0.99564668769716091</v>
      </c>
      <c r="R49" s="113">
        <f t="shared" si="37"/>
        <v>-2.7688861180382376</v>
      </c>
    </row>
    <row r="50" spans="2:18" x14ac:dyDescent="0.2">
      <c r="B50" s="54" t="s">
        <v>128</v>
      </c>
      <c r="C50" s="49"/>
      <c r="D50" s="98"/>
      <c r="E50" s="99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05"/>
    </row>
    <row r="51" spans="2:18" outlineLevel="1" x14ac:dyDescent="0.2">
      <c r="B51" s="54" t="s">
        <v>129</v>
      </c>
      <c r="C51" s="49"/>
      <c r="D51" s="98"/>
      <c r="E51" s="99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05"/>
    </row>
    <row r="52" spans="2:18" outlineLevel="1" x14ac:dyDescent="0.2">
      <c r="B52" s="116" t="s">
        <v>130</v>
      </c>
      <c r="C52" s="49" t="s">
        <v>131</v>
      </c>
      <c r="D52" s="117">
        <v>0</v>
      </c>
      <c r="E52" s="118"/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f t="shared" ref="K52:Q52" si="38">$D$52</f>
        <v>0</v>
      </c>
      <c r="L52" s="103">
        <f t="shared" si="38"/>
        <v>0</v>
      </c>
      <c r="M52" s="103">
        <f t="shared" si="38"/>
        <v>0</v>
      </c>
      <c r="N52" s="103">
        <f t="shared" si="38"/>
        <v>0</v>
      </c>
      <c r="O52" s="103">
        <f t="shared" si="38"/>
        <v>0</v>
      </c>
      <c r="P52" s="103">
        <f t="shared" si="38"/>
        <v>0</v>
      </c>
      <c r="Q52" s="103">
        <f t="shared" si="38"/>
        <v>0</v>
      </c>
      <c r="R52" s="82">
        <f t="shared" ref="R52:R57" si="39">SUM(F52:Q52)</f>
        <v>0</v>
      </c>
    </row>
    <row r="53" spans="2:18" outlineLevel="1" x14ac:dyDescent="0.2">
      <c r="B53" s="116" t="s">
        <v>132</v>
      </c>
      <c r="C53" s="49" t="s">
        <v>131</v>
      </c>
      <c r="D53" s="117">
        <v>0</v>
      </c>
      <c r="E53" s="118"/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f t="shared" ref="K53:Q53" si="40">$D$53</f>
        <v>0</v>
      </c>
      <c r="L53" s="103">
        <f t="shared" si="40"/>
        <v>0</v>
      </c>
      <c r="M53" s="103">
        <f t="shared" si="40"/>
        <v>0</v>
      </c>
      <c r="N53" s="103">
        <f t="shared" si="40"/>
        <v>0</v>
      </c>
      <c r="O53" s="103">
        <f t="shared" si="40"/>
        <v>0</v>
      </c>
      <c r="P53" s="103">
        <f t="shared" si="40"/>
        <v>0</v>
      </c>
      <c r="Q53" s="103">
        <f t="shared" si="40"/>
        <v>0</v>
      </c>
      <c r="R53" s="82">
        <f t="shared" si="39"/>
        <v>0</v>
      </c>
    </row>
    <row r="54" spans="2:18" outlineLevel="1" x14ac:dyDescent="0.2">
      <c r="B54" s="116" t="s">
        <v>133</v>
      </c>
      <c r="C54" s="49" t="s">
        <v>131</v>
      </c>
      <c r="D54" s="117">
        <v>0</v>
      </c>
      <c r="E54" s="118"/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f t="shared" ref="K54:Q54" si="41">$D$54</f>
        <v>0</v>
      </c>
      <c r="L54" s="103">
        <f t="shared" si="41"/>
        <v>0</v>
      </c>
      <c r="M54" s="103">
        <f t="shared" si="41"/>
        <v>0</v>
      </c>
      <c r="N54" s="103">
        <f t="shared" si="41"/>
        <v>0</v>
      </c>
      <c r="O54" s="103">
        <f t="shared" si="41"/>
        <v>0</v>
      </c>
      <c r="P54" s="103">
        <f t="shared" si="41"/>
        <v>0</v>
      </c>
      <c r="Q54" s="103">
        <f t="shared" si="41"/>
        <v>0</v>
      </c>
      <c r="R54" s="82">
        <f t="shared" si="39"/>
        <v>0</v>
      </c>
    </row>
    <row r="55" spans="2:18" outlineLevel="1" x14ac:dyDescent="0.2">
      <c r="B55" s="119" t="s">
        <v>134</v>
      </c>
      <c r="C55" s="49" t="s">
        <v>131</v>
      </c>
      <c r="D55" s="117">
        <v>0</v>
      </c>
      <c r="E55" s="118"/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f t="shared" ref="K55:Q55" si="42">$D$55</f>
        <v>0</v>
      </c>
      <c r="L55" s="103">
        <f t="shared" si="42"/>
        <v>0</v>
      </c>
      <c r="M55" s="103">
        <f t="shared" si="42"/>
        <v>0</v>
      </c>
      <c r="N55" s="103">
        <f t="shared" si="42"/>
        <v>0</v>
      </c>
      <c r="O55" s="103">
        <f t="shared" si="42"/>
        <v>0</v>
      </c>
      <c r="P55" s="103">
        <f t="shared" si="42"/>
        <v>0</v>
      </c>
      <c r="Q55" s="103">
        <f t="shared" si="42"/>
        <v>0</v>
      </c>
      <c r="R55" s="82">
        <f t="shared" si="39"/>
        <v>0</v>
      </c>
    </row>
    <row r="56" spans="2:18" outlineLevel="1" x14ac:dyDescent="0.2">
      <c r="B56" s="119" t="s">
        <v>254</v>
      </c>
      <c r="C56" s="49" t="s">
        <v>131</v>
      </c>
      <c r="D56" s="117">
        <v>1000</v>
      </c>
      <c r="E56" s="118"/>
      <c r="F56" s="103">
        <v>0</v>
      </c>
      <c r="G56" s="103">
        <f t="shared" ref="G56:J56" si="43">$D$56</f>
        <v>1000</v>
      </c>
      <c r="H56" s="103">
        <f t="shared" si="43"/>
        <v>1000</v>
      </c>
      <c r="I56" s="103">
        <f t="shared" si="43"/>
        <v>1000</v>
      </c>
      <c r="J56" s="103">
        <f t="shared" si="43"/>
        <v>1000</v>
      </c>
      <c r="K56" s="103">
        <f t="shared" ref="K56:Q56" si="44">$D$56</f>
        <v>1000</v>
      </c>
      <c r="L56" s="103">
        <f t="shared" si="44"/>
        <v>1000</v>
      </c>
      <c r="M56" s="103">
        <f t="shared" si="44"/>
        <v>1000</v>
      </c>
      <c r="N56" s="103">
        <f t="shared" si="44"/>
        <v>1000</v>
      </c>
      <c r="O56" s="103">
        <f t="shared" si="44"/>
        <v>1000</v>
      </c>
      <c r="P56" s="103">
        <f t="shared" si="44"/>
        <v>1000</v>
      </c>
      <c r="Q56" s="103">
        <f t="shared" si="44"/>
        <v>1000</v>
      </c>
      <c r="R56" s="82">
        <f t="shared" si="39"/>
        <v>11000</v>
      </c>
    </row>
    <row r="57" spans="2:18" outlineLevel="1" x14ac:dyDescent="0.2">
      <c r="B57" s="86" t="s">
        <v>129</v>
      </c>
      <c r="C57" s="49"/>
      <c r="D57" s="39"/>
      <c r="E57" s="99"/>
      <c r="F57" s="110">
        <f t="shared" ref="F57:J57" si="45">SUM(F52:F56)</f>
        <v>0</v>
      </c>
      <c r="G57" s="110">
        <f t="shared" si="45"/>
        <v>1000</v>
      </c>
      <c r="H57" s="110">
        <f t="shared" si="45"/>
        <v>1000</v>
      </c>
      <c r="I57" s="110">
        <f t="shared" si="45"/>
        <v>1000</v>
      </c>
      <c r="J57" s="110">
        <f t="shared" si="45"/>
        <v>1000</v>
      </c>
      <c r="K57" s="110">
        <f>SUM(K52:K56)</f>
        <v>1000</v>
      </c>
      <c r="L57" s="110">
        <f t="shared" ref="L57:Q57" si="46">SUM(L52:L56)</f>
        <v>1000</v>
      </c>
      <c r="M57" s="110">
        <f t="shared" si="46"/>
        <v>1000</v>
      </c>
      <c r="N57" s="110">
        <f t="shared" si="46"/>
        <v>1000</v>
      </c>
      <c r="O57" s="110">
        <f t="shared" si="46"/>
        <v>1000</v>
      </c>
      <c r="P57" s="110">
        <f t="shared" si="46"/>
        <v>1000</v>
      </c>
      <c r="Q57" s="110">
        <f t="shared" si="46"/>
        <v>1000</v>
      </c>
      <c r="R57" s="110">
        <f t="shared" si="39"/>
        <v>11000</v>
      </c>
    </row>
    <row r="58" spans="2:18" outlineLevel="1" x14ac:dyDescent="0.2">
      <c r="B58" s="54" t="s">
        <v>135</v>
      </c>
      <c r="C58" s="49"/>
      <c r="D58" s="39"/>
      <c r="E58" s="99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05"/>
    </row>
    <row r="59" spans="2:18" outlineLevel="1" x14ac:dyDescent="0.2">
      <c r="B59" s="87" t="s">
        <v>290</v>
      </c>
      <c r="C59" s="49" t="s">
        <v>136</v>
      </c>
      <c r="D59" s="120">
        <f>E59/12</f>
        <v>6666.666666666667</v>
      </c>
      <c r="E59" s="121">
        <v>80000</v>
      </c>
      <c r="F59" s="103">
        <f>$D59*F36</f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f t="shared" ref="K59:Q59" si="47">$D$59*K36</f>
        <v>0</v>
      </c>
      <c r="L59" s="103">
        <f t="shared" si="47"/>
        <v>0</v>
      </c>
      <c r="M59" s="103">
        <f t="shared" si="47"/>
        <v>6666.666666666667</v>
      </c>
      <c r="N59" s="103">
        <f t="shared" si="47"/>
        <v>6666.666666666667</v>
      </c>
      <c r="O59" s="103">
        <f t="shared" si="47"/>
        <v>6666.666666666667</v>
      </c>
      <c r="P59" s="103">
        <f t="shared" si="47"/>
        <v>6666.666666666667</v>
      </c>
      <c r="Q59" s="103">
        <f t="shared" si="47"/>
        <v>6666.666666666667</v>
      </c>
      <c r="R59" s="82">
        <f t="shared" ref="R59:R64" si="48">SUM(F59:Q59)</f>
        <v>33333.333333333336</v>
      </c>
    </row>
    <row r="60" spans="2:18" outlineLevel="1" x14ac:dyDescent="0.2">
      <c r="B60" s="87" t="s">
        <v>246</v>
      </c>
      <c r="C60" s="49" t="s">
        <v>136</v>
      </c>
      <c r="D60" s="120">
        <f>E60/12</f>
        <v>2500</v>
      </c>
      <c r="E60" s="121">
        <v>30000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103">
        <v>0</v>
      </c>
      <c r="R60" s="82">
        <f t="shared" si="48"/>
        <v>0</v>
      </c>
    </row>
    <row r="61" spans="2:18" outlineLevel="1" x14ac:dyDescent="0.2">
      <c r="B61" s="124" t="s">
        <v>137</v>
      </c>
      <c r="C61" s="49" t="s">
        <v>138</v>
      </c>
      <c r="D61" s="62">
        <v>520</v>
      </c>
      <c r="E61" s="118"/>
      <c r="F61" s="103">
        <v>0</v>
      </c>
      <c r="G61" s="103">
        <f t="shared" ref="G61:Q61" si="49">G38*$D$61</f>
        <v>0</v>
      </c>
      <c r="H61" s="103">
        <f t="shared" si="49"/>
        <v>0</v>
      </c>
      <c r="I61" s="103">
        <f t="shared" si="49"/>
        <v>0</v>
      </c>
      <c r="J61" s="103">
        <f t="shared" si="49"/>
        <v>0</v>
      </c>
      <c r="K61" s="103">
        <f t="shared" si="49"/>
        <v>0</v>
      </c>
      <c r="L61" s="103">
        <f t="shared" si="49"/>
        <v>0</v>
      </c>
      <c r="M61" s="103">
        <f t="shared" si="49"/>
        <v>520</v>
      </c>
      <c r="N61" s="103">
        <f t="shared" si="49"/>
        <v>520</v>
      </c>
      <c r="O61" s="103">
        <f t="shared" si="49"/>
        <v>520</v>
      </c>
      <c r="P61" s="103">
        <f t="shared" si="49"/>
        <v>520</v>
      </c>
      <c r="Q61" s="103">
        <f t="shared" si="49"/>
        <v>520</v>
      </c>
      <c r="R61" s="82">
        <f t="shared" si="48"/>
        <v>2600</v>
      </c>
    </row>
    <row r="62" spans="2:18" outlineLevel="1" x14ac:dyDescent="0.2">
      <c r="B62" s="124" t="s">
        <v>139</v>
      </c>
      <c r="C62" s="49" t="s">
        <v>140</v>
      </c>
      <c r="D62" s="125">
        <v>0.12</v>
      </c>
      <c r="E62" s="126"/>
      <c r="F62" s="103">
        <f t="shared" ref="F62:Q62" si="50">SUM(F59:F60)*$D62</f>
        <v>0</v>
      </c>
      <c r="G62" s="103">
        <f t="shared" si="50"/>
        <v>0</v>
      </c>
      <c r="H62" s="103">
        <f t="shared" si="50"/>
        <v>0</v>
      </c>
      <c r="I62" s="103">
        <f t="shared" si="50"/>
        <v>0</v>
      </c>
      <c r="J62" s="103">
        <f t="shared" si="50"/>
        <v>0</v>
      </c>
      <c r="K62" s="103">
        <f t="shared" si="50"/>
        <v>0</v>
      </c>
      <c r="L62" s="103">
        <f t="shared" si="50"/>
        <v>0</v>
      </c>
      <c r="M62" s="103">
        <f t="shared" si="50"/>
        <v>800</v>
      </c>
      <c r="N62" s="103">
        <f t="shared" si="50"/>
        <v>800</v>
      </c>
      <c r="O62" s="103">
        <f t="shared" si="50"/>
        <v>800</v>
      </c>
      <c r="P62" s="103">
        <f t="shared" si="50"/>
        <v>800</v>
      </c>
      <c r="Q62" s="103">
        <f t="shared" si="50"/>
        <v>800</v>
      </c>
      <c r="R62" s="82">
        <f t="shared" si="48"/>
        <v>4000</v>
      </c>
    </row>
    <row r="63" spans="2:18" x14ac:dyDescent="0.2">
      <c r="B63" s="124" t="s">
        <v>141</v>
      </c>
      <c r="C63" s="49"/>
      <c r="D63" s="39"/>
      <c r="E63" s="99"/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f>25+(4*M$38)</f>
        <v>29</v>
      </c>
      <c r="N63" s="103">
        <f>25+(4*N$38)</f>
        <v>29</v>
      </c>
      <c r="O63" s="103">
        <f>25+(4*O$38)</f>
        <v>29</v>
      </c>
      <c r="P63" s="103">
        <f>25+(4*P$38)</f>
        <v>29</v>
      </c>
      <c r="Q63" s="103">
        <f>25+(4*Q$38)</f>
        <v>29</v>
      </c>
      <c r="R63" s="82">
        <f t="shared" si="48"/>
        <v>145</v>
      </c>
    </row>
    <row r="64" spans="2:18" outlineLevel="2" x14ac:dyDescent="0.2">
      <c r="B64" s="86" t="s">
        <v>135</v>
      </c>
      <c r="C64" s="49"/>
      <c r="D64" s="39"/>
      <c r="E64" s="99"/>
      <c r="F64" s="293">
        <f t="shared" ref="F64:K64" si="51">SUM(F59:F63)</f>
        <v>0</v>
      </c>
      <c r="G64" s="127">
        <f t="shared" si="51"/>
        <v>0</v>
      </c>
      <c r="H64" s="127">
        <f t="shared" si="51"/>
        <v>0</v>
      </c>
      <c r="I64" s="127">
        <f t="shared" si="51"/>
        <v>0</v>
      </c>
      <c r="J64" s="127">
        <f t="shared" si="51"/>
        <v>0</v>
      </c>
      <c r="K64" s="127">
        <f t="shared" si="51"/>
        <v>0</v>
      </c>
      <c r="L64" s="127">
        <f t="shared" ref="L64:Q64" si="52">SUM(L59:L63)</f>
        <v>0</v>
      </c>
      <c r="M64" s="127">
        <f t="shared" si="52"/>
        <v>8015.666666666667</v>
      </c>
      <c r="N64" s="127">
        <f t="shared" si="52"/>
        <v>8015.666666666667</v>
      </c>
      <c r="O64" s="127">
        <f t="shared" si="52"/>
        <v>8015.666666666667</v>
      </c>
      <c r="P64" s="127">
        <f t="shared" si="52"/>
        <v>8015.666666666667</v>
      </c>
      <c r="Q64" s="127">
        <f t="shared" si="52"/>
        <v>8015.666666666667</v>
      </c>
      <c r="R64" s="127">
        <f t="shared" si="48"/>
        <v>40078.333333333336</v>
      </c>
    </row>
    <row r="65" spans="2:18" outlineLevel="2" x14ac:dyDescent="0.2">
      <c r="B65" s="54" t="s">
        <v>142</v>
      </c>
      <c r="C65" s="49"/>
      <c r="D65" s="39"/>
      <c r="E65" s="99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64"/>
    </row>
    <row r="66" spans="2:18" outlineLevel="2" x14ac:dyDescent="0.2">
      <c r="B66" s="106"/>
      <c r="C66" s="49" t="s">
        <v>115</v>
      </c>
      <c r="D66" s="89" t="s">
        <v>116</v>
      </c>
      <c r="E66" s="122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82">
        <f>SUM(F66:Q66)</f>
        <v>0</v>
      </c>
    </row>
    <row r="67" spans="2:18" x14ac:dyDescent="0.2">
      <c r="B67" s="106" t="s">
        <v>291</v>
      </c>
      <c r="C67" s="49" t="s">
        <v>143</v>
      </c>
      <c r="D67" s="120">
        <v>500</v>
      </c>
      <c r="E67" s="118"/>
      <c r="F67" s="103">
        <f t="shared" ref="F67:Q67" si="53">$D67</f>
        <v>500</v>
      </c>
      <c r="G67" s="103">
        <f t="shared" si="53"/>
        <v>500</v>
      </c>
      <c r="H67" s="103">
        <f t="shared" si="53"/>
        <v>500</v>
      </c>
      <c r="I67" s="103">
        <f t="shared" si="53"/>
        <v>500</v>
      </c>
      <c r="J67" s="103">
        <f t="shared" si="53"/>
        <v>500</v>
      </c>
      <c r="K67" s="103">
        <f t="shared" si="53"/>
        <v>500</v>
      </c>
      <c r="L67" s="103">
        <f t="shared" si="53"/>
        <v>500</v>
      </c>
      <c r="M67" s="103">
        <f t="shared" si="53"/>
        <v>500</v>
      </c>
      <c r="N67" s="103">
        <f t="shared" si="53"/>
        <v>500</v>
      </c>
      <c r="O67" s="103">
        <f t="shared" si="53"/>
        <v>500</v>
      </c>
      <c r="P67" s="103">
        <f t="shared" si="53"/>
        <v>500</v>
      </c>
      <c r="Q67" s="103">
        <f t="shared" si="53"/>
        <v>500</v>
      </c>
      <c r="R67" s="82">
        <f>SUM(F67:Q67)</f>
        <v>6000</v>
      </c>
    </row>
    <row r="68" spans="2:18" x14ac:dyDescent="0.2">
      <c r="B68" s="106" t="s">
        <v>253</v>
      </c>
      <c r="C68" s="49" t="s">
        <v>143</v>
      </c>
      <c r="D68" s="120">
        <f>75*160</f>
        <v>12000</v>
      </c>
      <c r="E68" s="118"/>
      <c r="F68" s="103">
        <v>0</v>
      </c>
      <c r="G68" s="103">
        <v>0</v>
      </c>
      <c r="H68" s="103">
        <f t="shared" ref="H68:L68" si="54">$D$68</f>
        <v>12000</v>
      </c>
      <c r="I68" s="103">
        <f t="shared" si="54"/>
        <v>12000</v>
      </c>
      <c r="J68" s="103">
        <f t="shared" si="54"/>
        <v>12000</v>
      </c>
      <c r="K68" s="103">
        <f t="shared" si="54"/>
        <v>12000</v>
      </c>
      <c r="L68" s="103">
        <f t="shared" si="54"/>
        <v>12000</v>
      </c>
      <c r="M68" s="103">
        <v>0</v>
      </c>
      <c r="N68" s="103">
        <v>0</v>
      </c>
      <c r="O68" s="103">
        <v>0</v>
      </c>
      <c r="P68" s="103">
        <v>0</v>
      </c>
      <c r="Q68" s="103">
        <v>0</v>
      </c>
      <c r="R68" s="82">
        <f>SUM(F68:Q68)</f>
        <v>60000</v>
      </c>
    </row>
    <row r="69" spans="2:18" x14ac:dyDescent="0.2">
      <c r="B69" s="106" t="s">
        <v>118</v>
      </c>
      <c r="C69" s="49" t="s">
        <v>143</v>
      </c>
      <c r="D69" s="120">
        <v>0</v>
      </c>
      <c r="E69" s="118"/>
      <c r="F69" s="103">
        <f>$D$69</f>
        <v>0</v>
      </c>
      <c r="G69" s="103">
        <f t="shared" ref="G69:L69" si="55">$D$69</f>
        <v>0</v>
      </c>
      <c r="H69" s="103">
        <f t="shared" si="55"/>
        <v>0</v>
      </c>
      <c r="I69" s="103">
        <f t="shared" si="55"/>
        <v>0</v>
      </c>
      <c r="J69" s="103">
        <f t="shared" si="55"/>
        <v>0</v>
      </c>
      <c r="K69" s="103">
        <f t="shared" si="55"/>
        <v>0</v>
      </c>
      <c r="L69" s="103">
        <f t="shared" si="55"/>
        <v>0</v>
      </c>
      <c r="M69" s="103"/>
      <c r="N69" s="103"/>
      <c r="O69" s="103"/>
      <c r="P69" s="103"/>
      <c r="Q69" s="103"/>
      <c r="R69" s="82">
        <f>SUM(F69:Q69)</f>
        <v>0</v>
      </c>
    </row>
    <row r="70" spans="2:18" x14ac:dyDescent="0.2">
      <c r="B70" s="86" t="s">
        <v>142</v>
      </c>
      <c r="C70" s="49"/>
      <c r="D70" s="39"/>
      <c r="E70" s="99"/>
      <c r="F70" s="103">
        <f>SUM(F67:F69)</f>
        <v>500</v>
      </c>
      <c r="G70" s="103">
        <f t="shared" ref="G70:Q70" si="56">SUM(G67:G69)</f>
        <v>500</v>
      </c>
      <c r="H70" s="103">
        <f t="shared" si="56"/>
        <v>12500</v>
      </c>
      <c r="I70" s="103">
        <f t="shared" si="56"/>
        <v>12500</v>
      </c>
      <c r="J70" s="103">
        <f t="shared" si="56"/>
        <v>12500</v>
      </c>
      <c r="K70" s="103">
        <f t="shared" si="56"/>
        <v>12500</v>
      </c>
      <c r="L70" s="103">
        <f t="shared" si="56"/>
        <v>12500</v>
      </c>
      <c r="M70" s="103">
        <f t="shared" si="56"/>
        <v>500</v>
      </c>
      <c r="N70" s="103">
        <f t="shared" si="56"/>
        <v>500</v>
      </c>
      <c r="O70" s="103">
        <f t="shared" si="56"/>
        <v>500</v>
      </c>
      <c r="P70" s="103">
        <f t="shared" si="56"/>
        <v>500</v>
      </c>
      <c r="Q70" s="103">
        <f t="shared" si="56"/>
        <v>500</v>
      </c>
      <c r="R70" s="82">
        <f>SUM(F70:Q70)</f>
        <v>66000</v>
      </c>
    </row>
    <row r="71" spans="2:18" outlineLevel="1" x14ac:dyDescent="0.2">
      <c r="B71" s="54" t="s">
        <v>144</v>
      </c>
      <c r="C71" s="49"/>
      <c r="D71" s="39"/>
      <c r="E71" s="99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05"/>
    </row>
    <row r="72" spans="2:18" outlineLevel="1" x14ac:dyDescent="0.2">
      <c r="B72" s="124" t="s">
        <v>146</v>
      </c>
      <c r="C72" s="49" t="s">
        <v>145</v>
      </c>
      <c r="D72" s="117">
        <v>0</v>
      </c>
      <c r="E72" s="118"/>
      <c r="F72" s="103">
        <f t="shared" ref="F72:Q72" si="57">$D$72</f>
        <v>0</v>
      </c>
      <c r="G72" s="103">
        <f t="shared" si="57"/>
        <v>0</v>
      </c>
      <c r="H72" s="103">
        <f t="shared" si="57"/>
        <v>0</v>
      </c>
      <c r="I72" s="103">
        <f t="shared" si="57"/>
        <v>0</v>
      </c>
      <c r="J72" s="103">
        <f t="shared" si="57"/>
        <v>0</v>
      </c>
      <c r="K72" s="103">
        <f t="shared" si="57"/>
        <v>0</v>
      </c>
      <c r="L72" s="103">
        <f t="shared" si="57"/>
        <v>0</v>
      </c>
      <c r="M72" s="103">
        <f t="shared" si="57"/>
        <v>0</v>
      </c>
      <c r="N72" s="103">
        <f t="shared" si="57"/>
        <v>0</v>
      </c>
      <c r="O72" s="103">
        <f t="shared" si="57"/>
        <v>0</v>
      </c>
      <c r="P72" s="103">
        <f t="shared" si="57"/>
        <v>0</v>
      </c>
      <c r="Q72" s="103">
        <f t="shared" si="57"/>
        <v>0</v>
      </c>
      <c r="R72" s="82">
        <f t="shared" ref="R72:R81" si="58">SUM(F72:Q72)</f>
        <v>0</v>
      </c>
    </row>
    <row r="73" spans="2:18" outlineLevel="1" x14ac:dyDescent="0.2">
      <c r="B73" s="124" t="s">
        <v>147</v>
      </c>
      <c r="C73" s="49" t="s">
        <v>145</v>
      </c>
      <c r="D73" s="117">
        <v>0</v>
      </c>
      <c r="E73" s="118"/>
      <c r="F73" s="103">
        <f t="shared" ref="F73:Q73" si="59">$D$73</f>
        <v>0</v>
      </c>
      <c r="G73" s="103">
        <f t="shared" si="59"/>
        <v>0</v>
      </c>
      <c r="H73" s="103">
        <f t="shared" si="59"/>
        <v>0</v>
      </c>
      <c r="I73" s="103">
        <f t="shared" si="59"/>
        <v>0</v>
      </c>
      <c r="J73" s="103">
        <f t="shared" si="59"/>
        <v>0</v>
      </c>
      <c r="K73" s="103">
        <f t="shared" si="59"/>
        <v>0</v>
      </c>
      <c r="L73" s="103">
        <f t="shared" si="59"/>
        <v>0</v>
      </c>
      <c r="M73" s="103">
        <f t="shared" si="59"/>
        <v>0</v>
      </c>
      <c r="N73" s="103">
        <f t="shared" si="59"/>
        <v>0</v>
      </c>
      <c r="O73" s="103">
        <f t="shared" si="59"/>
        <v>0</v>
      </c>
      <c r="P73" s="103">
        <f t="shared" si="59"/>
        <v>0</v>
      </c>
      <c r="Q73" s="103">
        <f t="shared" si="59"/>
        <v>0</v>
      </c>
      <c r="R73" s="82">
        <f t="shared" si="58"/>
        <v>0</v>
      </c>
    </row>
    <row r="74" spans="2:18" outlineLevel="1" x14ac:dyDescent="0.2">
      <c r="B74" s="124" t="s">
        <v>148</v>
      </c>
      <c r="C74" s="49" t="s">
        <v>131</v>
      </c>
      <c r="D74" s="117">
        <v>200</v>
      </c>
      <c r="E74" s="118"/>
      <c r="F74" s="103">
        <f t="shared" ref="F74:Q74" si="60">$D$74</f>
        <v>200</v>
      </c>
      <c r="G74" s="103">
        <f t="shared" si="60"/>
        <v>200</v>
      </c>
      <c r="H74" s="103">
        <f t="shared" si="60"/>
        <v>200</v>
      </c>
      <c r="I74" s="103">
        <f t="shared" si="60"/>
        <v>200</v>
      </c>
      <c r="J74" s="103">
        <f t="shared" si="60"/>
        <v>200</v>
      </c>
      <c r="K74" s="103">
        <f t="shared" si="60"/>
        <v>200</v>
      </c>
      <c r="L74" s="103">
        <f t="shared" si="60"/>
        <v>200</v>
      </c>
      <c r="M74" s="103">
        <f t="shared" si="60"/>
        <v>200</v>
      </c>
      <c r="N74" s="103">
        <f t="shared" si="60"/>
        <v>200</v>
      </c>
      <c r="O74" s="103">
        <f t="shared" si="60"/>
        <v>200</v>
      </c>
      <c r="P74" s="103">
        <f t="shared" si="60"/>
        <v>200</v>
      </c>
      <c r="Q74" s="103">
        <f t="shared" si="60"/>
        <v>200</v>
      </c>
      <c r="R74" s="82">
        <f t="shared" si="58"/>
        <v>2400</v>
      </c>
    </row>
    <row r="75" spans="2:18" outlineLevel="1" x14ac:dyDescent="0.2">
      <c r="B75" s="124" t="s">
        <v>149</v>
      </c>
      <c r="C75" s="49" t="s">
        <v>145</v>
      </c>
      <c r="D75" s="117">
        <v>100</v>
      </c>
      <c r="E75" s="118" t="s">
        <v>150</v>
      </c>
      <c r="F75" s="103">
        <f t="shared" ref="F75:Q75" si="61">$D75*F38</f>
        <v>0</v>
      </c>
      <c r="G75" s="103">
        <f t="shared" si="61"/>
        <v>0</v>
      </c>
      <c r="H75" s="103">
        <f t="shared" si="61"/>
        <v>0</v>
      </c>
      <c r="I75" s="103">
        <f t="shared" si="61"/>
        <v>0</v>
      </c>
      <c r="J75" s="103">
        <f t="shared" si="61"/>
        <v>0</v>
      </c>
      <c r="K75" s="103">
        <f t="shared" si="61"/>
        <v>0</v>
      </c>
      <c r="L75" s="103">
        <f t="shared" si="61"/>
        <v>0</v>
      </c>
      <c r="M75" s="103">
        <f t="shared" si="61"/>
        <v>100</v>
      </c>
      <c r="N75" s="103">
        <f t="shared" si="61"/>
        <v>100</v>
      </c>
      <c r="O75" s="103">
        <f t="shared" si="61"/>
        <v>100</v>
      </c>
      <c r="P75" s="103">
        <f t="shared" si="61"/>
        <v>100</v>
      </c>
      <c r="Q75" s="103">
        <f t="shared" si="61"/>
        <v>100</v>
      </c>
      <c r="R75" s="82">
        <f t="shared" si="58"/>
        <v>500</v>
      </c>
    </row>
    <row r="76" spans="2:18" outlineLevel="1" x14ac:dyDescent="0.2">
      <c r="B76" s="124" t="s">
        <v>151</v>
      </c>
      <c r="C76" s="49" t="s">
        <v>145</v>
      </c>
      <c r="D76" s="117">
        <v>0</v>
      </c>
      <c r="E76" s="118"/>
      <c r="F76" s="103">
        <f t="shared" ref="F76:Q76" si="62">$D76*F$38</f>
        <v>0</v>
      </c>
      <c r="G76" s="103">
        <f t="shared" si="62"/>
        <v>0</v>
      </c>
      <c r="H76" s="103">
        <f t="shared" si="62"/>
        <v>0</v>
      </c>
      <c r="I76" s="103">
        <f t="shared" si="62"/>
        <v>0</v>
      </c>
      <c r="J76" s="103">
        <f t="shared" si="62"/>
        <v>0</v>
      </c>
      <c r="K76" s="103">
        <f t="shared" si="62"/>
        <v>0</v>
      </c>
      <c r="L76" s="103">
        <f t="shared" si="62"/>
        <v>0</v>
      </c>
      <c r="M76" s="103">
        <f t="shared" si="62"/>
        <v>0</v>
      </c>
      <c r="N76" s="103">
        <f t="shared" si="62"/>
        <v>0</v>
      </c>
      <c r="O76" s="103">
        <f t="shared" si="62"/>
        <v>0</v>
      </c>
      <c r="P76" s="103">
        <f t="shared" si="62"/>
        <v>0</v>
      </c>
      <c r="Q76" s="103">
        <f t="shared" si="62"/>
        <v>0</v>
      </c>
      <c r="R76" s="82">
        <f t="shared" si="58"/>
        <v>0</v>
      </c>
    </row>
    <row r="77" spans="2:18" outlineLevel="1" x14ac:dyDescent="0.2">
      <c r="B77" s="124" t="s">
        <v>153</v>
      </c>
      <c r="C77" s="49" t="s">
        <v>152</v>
      </c>
      <c r="D77" s="117">
        <v>500</v>
      </c>
      <c r="E77" s="118"/>
      <c r="F77" s="103">
        <f t="shared" ref="F77:Q77" si="63">$D77</f>
        <v>500</v>
      </c>
      <c r="G77" s="103">
        <f t="shared" si="63"/>
        <v>500</v>
      </c>
      <c r="H77" s="103">
        <f t="shared" si="63"/>
        <v>500</v>
      </c>
      <c r="I77" s="103">
        <f t="shared" si="63"/>
        <v>500</v>
      </c>
      <c r="J77" s="103">
        <f t="shared" si="63"/>
        <v>500</v>
      </c>
      <c r="K77" s="103">
        <f t="shared" si="63"/>
        <v>500</v>
      </c>
      <c r="L77" s="103">
        <f t="shared" si="63"/>
        <v>500</v>
      </c>
      <c r="M77" s="103">
        <f t="shared" si="63"/>
        <v>500</v>
      </c>
      <c r="N77" s="103">
        <f t="shared" si="63"/>
        <v>500</v>
      </c>
      <c r="O77" s="103">
        <f t="shared" si="63"/>
        <v>500</v>
      </c>
      <c r="P77" s="103">
        <f t="shared" si="63"/>
        <v>500</v>
      </c>
      <c r="Q77" s="103">
        <f t="shared" si="63"/>
        <v>500</v>
      </c>
      <c r="R77" s="82">
        <f t="shared" si="58"/>
        <v>6000</v>
      </c>
    </row>
    <row r="78" spans="2:18" outlineLevel="1" x14ac:dyDescent="0.2">
      <c r="B78" s="124" t="s">
        <v>247</v>
      </c>
      <c r="C78" s="49" t="s">
        <v>145</v>
      </c>
      <c r="D78" s="117">
        <v>0</v>
      </c>
      <c r="E78" s="118"/>
      <c r="F78" s="103">
        <f t="shared" ref="F78:Q78" si="64">$D$78</f>
        <v>0</v>
      </c>
      <c r="G78" s="103">
        <f t="shared" si="64"/>
        <v>0</v>
      </c>
      <c r="H78" s="103">
        <f t="shared" si="64"/>
        <v>0</v>
      </c>
      <c r="I78" s="103">
        <f t="shared" si="64"/>
        <v>0</v>
      </c>
      <c r="J78" s="103">
        <f t="shared" si="64"/>
        <v>0</v>
      </c>
      <c r="K78" s="103">
        <f t="shared" si="64"/>
        <v>0</v>
      </c>
      <c r="L78" s="103">
        <f t="shared" si="64"/>
        <v>0</v>
      </c>
      <c r="M78" s="103">
        <f t="shared" si="64"/>
        <v>0</v>
      </c>
      <c r="N78" s="103">
        <f t="shared" si="64"/>
        <v>0</v>
      </c>
      <c r="O78" s="103">
        <f t="shared" si="64"/>
        <v>0</v>
      </c>
      <c r="P78" s="103">
        <f t="shared" si="64"/>
        <v>0</v>
      </c>
      <c r="Q78" s="103">
        <f t="shared" si="64"/>
        <v>0</v>
      </c>
      <c r="R78" s="82">
        <f t="shared" si="58"/>
        <v>0</v>
      </c>
    </row>
    <row r="79" spans="2:18" x14ac:dyDescent="0.2">
      <c r="B79" s="86" t="s">
        <v>144</v>
      </c>
      <c r="C79" s="49"/>
      <c r="D79" s="98"/>
      <c r="E79" s="99"/>
      <c r="F79" s="103">
        <f>SUM(F67:F78)</f>
        <v>1700</v>
      </c>
      <c r="G79" s="103">
        <f t="shared" ref="G79:Q79" si="65">SUM(G67:G78)</f>
        <v>1700</v>
      </c>
      <c r="H79" s="103">
        <f t="shared" si="65"/>
        <v>25700</v>
      </c>
      <c r="I79" s="103">
        <f t="shared" si="65"/>
        <v>25700</v>
      </c>
      <c r="J79" s="103">
        <f t="shared" si="65"/>
        <v>25700</v>
      </c>
      <c r="K79" s="103">
        <f t="shared" si="65"/>
        <v>25700</v>
      </c>
      <c r="L79" s="103">
        <f t="shared" si="65"/>
        <v>25700</v>
      </c>
      <c r="M79" s="103">
        <f t="shared" si="65"/>
        <v>1800</v>
      </c>
      <c r="N79" s="103">
        <f t="shared" si="65"/>
        <v>1800</v>
      </c>
      <c r="O79" s="103">
        <f t="shared" si="65"/>
        <v>1800</v>
      </c>
      <c r="P79" s="103">
        <f t="shared" si="65"/>
        <v>1800</v>
      </c>
      <c r="Q79" s="103">
        <f t="shared" si="65"/>
        <v>1800</v>
      </c>
      <c r="R79" s="82">
        <f t="shared" si="58"/>
        <v>140900</v>
      </c>
    </row>
    <row r="80" spans="2:18" x14ac:dyDescent="0.2">
      <c r="B80" s="86" t="s">
        <v>128</v>
      </c>
      <c r="C80" s="129"/>
      <c r="D80" s="98"/>
      <c r="E80" s="99"/>
      <c r="F80" s="103">
        <f>F57+F64+F79+F70</f>
        <v>2200</v>
      </c>
      <c r="G80" s="103">
        <f>G57+G64+G79+G70</f>
        <v>3200</v>
      </c>
      <c r="H80" s="103">
        <f t="shared" ref="H80:M80" si="66">H57+H64+H79+H70</f>
        <v>39200</v>
      </c>
      <c r="I80" s="103">
        <f t="shared" si="66"/>
        <v>39200</v>
      </c>
      <c r="J80" s="103">
        <f t="shared" si="66"/>
        <v>39200</v>
      </c>
      <c r="K80" s="103">
        <f t="shared" si="66"/>
        <v>39200</v>
      </c>
      <c r="L80" s="103">
        <f t="shared" si="66"/>
        <v>39200</v>
      </c>
      <c r="M80" s="103">
        <f t="shared" si="66"/>
        <v>11315.666666666668</v>
      </c>
      <c r="N80" s="103">
        <f>N57+N64+N79+N70</f>
        <v>11315.666666666668</v>
      </c>
      <c r="O80" s="103">
        <f>O57+O64+O79+O70</f>
        <v>11315.666666666668</v>
      </c>
      <c r="P80" s="103">
        <f>P57+P64+P79+P70</f>
        <v>11315.666666666668</v>
      </c>
      <c r="Q80" s="103">
        <f>Q57+Q64+Q79+Q70</f>
        <v>11315.666666666668</v>
      </c>
      <c r="R80" s="82">
        <f t="shared" si="58"/>
        <v>257978.33333333328</v>
      </c>
    </row>
    <row r="81" spans="2:18" x14ac:dyDescent="0.2">
      <c r="B81" s="86" t="s">
        <v>155</v>
      </c>
      <c r="C81" s="49"/>
      <c r="D81" s="98"/>
      <c r="E81" s="99"/>
      <c r="F81" s="103">
        <f t="shared" ref="F81:Q81" si="67">F48-F80</f>
        <v>-115348</v>
      </c>
      <c r="G81" s="103">
        <f t="shared" si="67"/>
        <v>-115571</v>
      </c>
      <c r="H81" s="103">
        <f t="shared" si="67"/>
        <v>-150794</v>
      </c>
      <c r="I81" s="103">
        <f t="shared" si="67"/>
        <v>-149217</v>
      </c>
      <c r="J81" s="103">
        <f t="shared" si="67"/>
        <v>-147640</v>
      </c>
      <c r="K81" s="103">
        <f t="shared" si="67"/>
        <v>-146063</v>
      </c>
      <c r="L81" s="103">
        <f t="shared" si="67"/>
        <v>-144486</v>
      </c>
      <c r="M81" s="103">
        <f t="shared" si="67"/>
        <v>-100124.66666666667</v>
      </c>
      <c r="N81" s="103">
        <f t="shared" si="67"/>
        <v>20277.333333333332</v>
      </c>
      <c r="O81" s="103">
        <f t="shared" si="67"/>
        <v>31654.333333333332</v>
      </c>
      <c r="P81" s="103">
        <f t="shared" si="67"/>
        <v>41331.333333333328</v>
      </c>
      <c r="Q81" s="103">
        <f t="shared" si="67"/>
        <v>51808.333333333328</v>
      </c>
      <c r="R81" s="82">
        <f t="shared" si="58"/>
        <v>-924172.33333333337</v>
      </c>
    </row>
    <row r="82" spans="2:18" x14ac:dyDescent="0.2">
      <c r="B82" s="102" t="s">
        <v>156</v>
      </c>
      <c r="C82" s="49"/>
      <c r="D82" s="98"/>
      <c r="E82" s="99"/>
      <c r="F82" s="130" t="e">
        <f t="shared" ref="F82:R82" si="68">F81/F41</f>
        <v>#DIV/0!</v>
      </c>
      <c r="G82" s="130">
        <f t="shared" si="68"/>
        <v>-144.46375</v>
      </c>
      <c r="H82" s="130">
        <f t="shared" si="68"/>
        <v>-94.246250000000003</v>
      </c>
      <c r="I82" s="130">
        <f t="shared" si="68"/>
        <v>-46.630312500000002</v>
      </c>
      <c r="J82" s="130">
        <f t="shared" si="68"/>
        <v>-30.758333333333333</v>
      </c>
      <c r="K82" s="130">
        <f t="shared" si="68"/>
        <v>-22.822343750000002</v>
      </c>
      <c r="L82" s="130">
        <f t="shared" si="68"/>
        <v>-18.060749999999999</v>
      </c>
      <c r="M82" s="130">
        <f t="shared" si="68"/>
        <v>-4.0867210884353744</v>
      </c>
      <c r="N82" s="130">
        <f t="shared" si="68"/>
        <v>0.63765199161425568</v>
      </c>
      <c r="O82" s="130">
        <f t="shared" si="68"/>
        <v>0.73273919753086414</v>
      </c>
      <c r="P82" s="130">
        <f t="shared" si="68"/>
        <v>0.78131064902331437</v>
      </c>
      <c r="Q82" s="130">
        <f t="shared" si="68"/>
        <v>0.81716614090431117</v>
      </c>
      <c r="R82" s="132">
        <f t="shared" si="68"/>
        <v>-3.8411152673870879</v>
      </c>
    </row>
    <row r="83" spans="2:18" x14ac:dyDescent="0.2">
      <c r="B83" s="86" t="s">
        <v>157</v>
      </c>
      <c r="C83" s="49" t="s">
        <v>158</v>
      </c>
      <c r="D83" s="133">
        <v>1E-3</v>
      </c>
      <c r="E83" s="296"/>
      <c r="F83" s="128">
        <v>0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28">
        <v>0</v>
      </c>
      <c r="P83" s="128">
        <v>0</v>
      </c>
      <c r="Q83" s="128">
        <v>0</v>
      </c>
      <c r="R83" s="64">
        <f>SUM(F83:Q83)</f>
        <v>0</v>
      </c>
    </row>
    <row r="84" spans="2:18" x14ac:dyDescent="0.2">
      <c r="B84" s="90" t="s">
        <v>159</v>
      </c>
      <c r="C84" s="91"/>
      <c r="D84" s="92"/>
      <c r="E84" s="297"/>
      <c r="F84" s="94">
        <f>F81+F83</f>
        <v>-115348</v>
      </c>
      <c r="G84" s="94">
        <f t="shared" ref="G84:M84" si="69">G81+G83</f>
        <v>-115571</v>
      </c>
      <c r="H84" s="94">
        <f t="shared" si="69"/>
        <v>-150794</v>
      </c>
      <c r="I84" s="94">
        <f t="shared" si="69"/>
        <v>-149217</v>
      </c>
      <c r="J84" s="94">
        <f t="shared" si="69"/>
        <v>-147640</v>
      </c>
      <c r="K84" s="94">
        <f t="shared" si="69"/>
        <v>-146063</v>
      </c>
      <c r="L84" s="94">
        <f t="shared" si="69"/>
        <v>-144486</v>
      </c>
      <c r="M84" s="94">
        <f t="shared" si="69"/>
        <v>-100124.66666666667</v>
      </c>
      <c r="N84" s="94">
        <f>N81+N83</f>
        <v>20277.333333333332</v>
      </c>
      <c r="O84" s="94">
        <f>O81+O83</f>
        <v>31654.333333333332</v>
      </c>
      <c r="P84" s="94">
        <f>P81+P83</f>
        <v>41331.333333333328</v>
      </c>
      <c r="Q84" s="94">
        <f>Q81+Q83</f>
        <v>51808.333333333328</v>
      </c>
      <c r="R84" s="63">
        <f>SUM(F84:Q84)</f>
        <v>-924172.33333333337</v>
      </c>
    </row>
    <row r="85" spans="2:18" x14ac:dyDescent="0.2">
      <c r="B85" s="134"/>
      <c r="C85" s="96"/>
      <c r="D85" s="97"/>
      <c r="E85" s="43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53"/>
    </row>
    <row r="86" spans="2:18" x14ac:dyDescent="0.2">
      <c r="B86" s="86"/>
      <c r="C86" s="49"/>
      <c r="D86" s="98"/>
      <c r="E86" s="99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5"/>
    </row>
    <row r="87" spans="2:18" x14ac:dyDescent="0.2">
      <c r="B87" s="48" t="s">
        <v>160</v>
      </c>
      <c r="C87" s="49"/>
      <c r="D87" s="98"/>
      <c r="E87" s="99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5"/>
    </row>
    <row r="88" spans="2:18" x14ac:dyDescent="0.2">
      <c r="B88" s="86" t="s">
        <v>161</v>
      </c>
      <c r="C88" s="49"/>
      <c r="D88" s="98"/>
      <c r="E88" s="99"/>
      <c r="F88" s="294">
        <f>F122</f>
        <v>785202</v>
      </c>
      <c r="G88" s="135">
        <f t="shared" ref="G88:Q88" si="70">G122</f>
        <v>669481</v>
      </c>
      <c r="H88" s="135">
        <f t="shared" si="70"/>
        <v>527287</v>
      </c>
      <c r="I88" s="135">
        <f t="shared" si="70"/>
        <v>377270</v>
      </c>
      <c r="J88" s="135">
        <f t="shared" si="70"/>
        <v>228830</v>
      </c>
      <c r="K88" s="135">
        <f t="shared" si="70"/>
        <v>81967</v>
      </c>
      <c r="L88" s="135">
        <f t="shared" si="70"/>
        <v>-63319</v>
      </c>
      <c r="M88" s="135">
        <f t="shared" si="70"/>
        <v>-178664.75</v>
      </c>
      <c r="N88" s="135">
        <f t="shared" ref="N88:P88" si="71">N122</f>
        <v>82573.25</v>
      </c>
      <c r="O88" s="135">
        <f t="shared" si="71"/>
        <v>-56235.75</v>
      </c>
      <c r="P88" s="135">
        <f t="shared" si="71"/>
        <v>-51408.75</v>
      </c>
      <c r="Q88" s="135">
        <f t="shared" si="70"/>
        <v>-146306.41666666669</v>
      </c>
      <c r="R88" s="136">
        <f>Q88</f>
        <v>-146306.41666666669</v>
      </c>
    </row>
    <row r="89" spans="2:18" outlineLevel="1" x14ac:dyDescent="0.2">
      <c r="B89" s="137" t="s">
        <v>162</v>
      </c>
      <c r="C89" s="49" t="s">
        <v>163</v>
      </c>
      <c r="D89" s="138">
        <v>0.5</v>
      </c>
      <c r="E89" s="126"/>
      <c r="F89" s="135">
        <f t="shared" ref="F89:Q89" si="72">$D89*(F41+F83)</f>
        <v>0</v>
      </c>
      <c r="G89" s="135">
        <f t="shared" si="72"/>
        <v>400</v>
      </c>
      <c r="H89" s="135">
        <f t="shared" si="72"/>
        <v>800</v>
      </c>
      <c r="I89" s="135">
        <f t="shared" si="72"/>
        <v>1600</v>
      </c>
      <c r="J89" s="135">
        <f t="shared" si="72"/>
        <v>2400</v>
      </c>
      <c r="K89" s="135">
        <f t="shared" si="72"/>
        <v>3200</v>
      </c>
      <c r="L89" s="135">
        <f t="shared" si="72"/>
        <v>4000</v>
      </c>
      <c r="M89" s="135">
        <f t="shared" si="72"/>
        <v>12250</v>
      </c>
      <c r="N89" s="135">
        <f t="shared" si="72"/>
        <v>15900</v>
      </c>
      <c r="O89" s="135">
        <f t="shared" si="72"/>
        <v>21600</v>
      </c>
      <c r="P89" s="135">
        <f t="shared" si="72"/>
        <v>26450</v>
      </c>
      <c r="Q89" s="135">
        <f t="shared" si="72"/>
        <v>31700</v>
      </c>
      <c r="R89" s="136">
        <f t="shared" ref="R89:R91" si="73">Q89</f>
        <v>31700</v>
      </c>
    </row>
    <row r="90" spans="2:18" x14ac:dyDescent="0.2">
      <c r="B90" s="137" t="s">
        <v>164</v>
      </c>
      <c r="C90" s="49"/>
      <c r="D90" s="98"/>
      <c r="E90" s="99"/>
      <c r="F90" s="294">
        <f t="shared" ref="F90:Q90" si="74">F88+F89</f>
        <v>785202</v>
      </c>
      <c r="G90" s="135">
        <f t="shared" si="74"/>
        <v>669881</v>
      </c>
      <c r="H90" s="135">
        <f t="shared" si="74"/>
        <v>528087</v>
      </c>
      <c r="I90" s="135">
        <f t="shared" si="74"/>
        <v>378870</v>
      </c>
      <c r="J90" s="135">
        <f t="shared" si="74"/>
        <v>231230</v>
      </c>
      <c r="K90" s="135">
        <f t="shared" si="74"/>
        <v>85167</v>
      </c>
      <c r="L90" s="135">
        <f t="shared" si="74"/>
        <v>-59319</v>
      </c>
      <c r="M90" s="135">
        <f t="shared" si="74"/>
        <v>-166414.75</v>
      </c>
      <c r="N90" s="135">
        <f t="shared" ref="N90:P90" si="75">N88+N89</f>
        <v>98473.25</v>
      </c>
      <c r="O90" s="135">
        <f t="shared" si="75"/>
        <v>-34635.75</v>
      </c>
      <c r="P90" s="135">
        <f t="shared" si="75"/>
        <v>-24958.75</v>
      </c>
      <c r="Q90" s="135">
        <f t="shared" si="74"/>
        <v>-114606.41666666669</v>
      </c>
      <c r="R90" s="136">
        <f t="shared" si="73"/>
        <v>-114606.41666666669</v>
      </c>
    </row>
    <row r="91" spans="2:18" x14ac:dyDescent="0.2">
      <c r="B91" s="137" t="s">
        <v>165</v>
      </c>
      <c r="C91" s="49" t="s">
        <v>166</v>
      </c>
      <c r="D91" s="72">
        <v>30000</v>
      </c>
      <c r="E91" s="118"/>
      <c r="F91" s="294">
        <f>D91</f>
        <v>30000</v>
      </c>
      <c r="G91" s="135">
        <f>F91</f>
        <v>30000</v>
      </c>
      <c r="H91" s="135">
        <f>G91</f>
        <v>30000</v>
      </c>
      <c r="I91" s="135">
        <f t="shared" ref="I91:M91" si="76">H91</f>
        <v>30000</v>
      </c>
      <c r="J91" s="135">
        <f t="shared" si="76"/>
        <v>30000</v>
      </c>
      <c r="K91" s="135">
        <f t="shared" si="76"/>
        <v>30000</v>
      </c>
      <c r="L91" s="135">
        <f t="shared" si="76"/>
        <v>30000</v>
      </c>
      <c r="M91" s="135">
        <f t="shared" si="76"/>
        <v>30000</v>
      </c>
      <c r="N91" s="135">
        <f>K91</f>
        <v>30000</v>
      </c>
      <c r="O91" s="135">
        <f>L91</f>
        <v>30000</v>
      </c>
      <c r="P91" s="135">
        <f>L91</f>
        <v>30000</v>
      </c>
      <c r="Q91" s="135">
        <f>M91</f>
        <v>30000</v>
      </c>
      <c r="R91" s="136">
        <f t="shared" si="73"/>
        <v>30000</v>
      </c>
    </row>
    <row r="92" spans="2:18" x14ac:dyDescent="0.2">
      <c r="B92" s="139" t="s">
        <v>167</v>
      </c>
      <c r="C92" s="91"/>
      <c r="D92" s="92"/>
      <c r="E92" s="297"/>
      <c r="F92" s="140">
        <f>F90+F91</f>
        <v>815202</v>
      </c>
      <c r="G92" s="140">
        <f>G90+G91</f>
        <v>699881</v>
      </c>
      <c r="H92" s="140">
        <f t="shared" ref="H92:Q92" si="77">H90+H91</f>
        <v>558087</v>
      </c>
      <c r="I92" s="140">
        <f t="shared" si="77"/>
        <v>408870</v>
      </c>
      <c r="J92" s="140">
        <f t="shared" si="77"/>
        <v>261230</v>
      </c>
      <c r="K92" s="140">
        <f t="shared" si="77"/>
        <v>115167</v>
      </c>
      <c r="L92" s="140">
        <f t="shared" si="77"/>
        <v>-29319</v>
      </c>
      <c r="M92" s="140">
        <f t="shared" si="77"/>
        <v>-136414.75</v>
      </c>
      <c r="N92" s="140">
        <f t="shared" ref="N92:P92" si="78">N90+N91</f>
        <v>128473.25</v>
      </c>
      <c r="O92" s="140">
        <f t="shared" si="78"/>
        <v>-4635.75</v>
      </c>
      <c r="P92" s="140">
        <f t="shared" si="78"/>
        <v>5041.25</v>
      </c>
      <c r="Q92" s="140">
        <f t="shared" si="77"/>
        <v>-84606.416666666686</v>
      </c>
      <c r="R92" s="141">
        <f>Q92</f>
        <v>-84606.416666666686</v>
      </c>
    </row>
    <row r="93" spans="2:18" x14ac:dyDescent="0.2">
      <c r="B93" s="86"/>
      <c r="C93" s="49"/>
      <c r="D93" s="98"/>
      <c r="E93" s="99"/>
      <c r="F93" s="294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6"/>
    </row>
    <row r="94" spans="2:18" x14ac:dyDescent="0.2">
      <c r="B94" s="86" t="s">
        <v>168</v>
      </c>
      <c r="C94" s="49" t="s">
        <v>169</v>
      </c>
      <c r="D94" s="138">
        <v>0.25</v>
      </c>
      <c r="E94" s="126"/>
      <c r="F94" s="135">
        <f t="shared" ref="F94:Q94" si="79">$D94*F80</f>
        <v>550</v>
      </c>
      <c r="G94" s="135">
        <f t="shared" si="79"/>
        <v>800</v>
      </c>
      <c r="H94" s="135">
        <f t="shared" si="79"/>
        <v>9800</v>
      </c>
      <c r="I94" s="135">
        <f t="shared" si="79"/>
        <v>9800</v>
      </c>
      <c r="J94" s="135">
        <f t="shared" si="79"/>
        <v>9800</v>
      </c>
      <c r="K94" s="135">
        <f t="shared" si="79"/>
        <v>9800</v>
      </c>
      <c r="L94" s="135">
        <f t="shared" si="79"/>
        <v>9800</v>
      </c>
      <c r="M94" s="135">
        <f t="shared" si="79"/>
        <v>2828.916666666667</v>
      </c>
      <c r="N94" s="135">
        <f t="shared" si="79"/>
        <v>2828.916666666667</v>
      </c>
      <c r="O94" s="135">
        <f t="shared" si="79"/>
        <v>2828.916666666667</v>
      </c>
      <c r="P94" s="135">
        <f t="shared" si="79"/>
        <v>2828.916666666667</v>
      </c>
      <c r="Q94" s="135">
        <f t="shared" si="79"/>
        <v>2828.916666666667</v>
      </c>
      <c r="R94" s="136">
        <f>Q94</f>
        <v>2828.916666666667</v>
      </c>
    </row>
    <row r="95" spans="2:18" x14ac:dyDescent="0.2">
      <c r="B95" s="86" t="s">
        <v>170</v>
      </c>
      <c r="C95" s="49" t="s">
        <v>166</v>
      </c>
      <c r="D95" s="72">
        <v>30000</v>
      </c>
      <c r="E95" s="118"/>
      <c r="F95" s="294">
        <f>D95</f>
        <v>30000</v>
      </c>
      <c r="G95" s="135">
        <f t="shared" ref="G95:M95" si="80">F95</f>
        <v>30000</v>
      </c>
      <c r="H95" s="135">
        <f t="shared" si="80"/>
        <v>30000</v>
      </c>
      <c r="I95" s="135">
        <f t="shared" si="80"/>
        <v>30000</v>
      </c>
      <c r="J95" s="135">
        <f t="shared" si="80"/>
        <v>30000</v>
      </c>
      <c r="K95" s="135">
        <f t="shared" si="80"/>
        <v>30000</v>
      </c>
      <c r="L95" s="135">
        <f t="shared" si="80"/>
        <v>30000</v>
      </c>
      <c r="M95" s="135">
        <f t="shared" si="80"/>
        <v>30000</v>
      </c>
      <c r="N95" s="135">
        <f>K95</f>
        <v>30000</v>
      </c>
      <c r="O95" s="135">
        <f>L95</f>
        <v>30000</v>
      </c>
      <c r="P95" s="135">
        <f>L95</f>
        <v>30000</v>
      </c>
      <c r="Q95" s="135">
        <f>M95</f>
        <v>30000</v>
      </c>
      <c r="R95" s="136">
        <f>Q95</f>
        <v>30000</v>
      </c>
    </row>
    <row r="96" spans="2:18" x14ac:dyDescent="0.2">
      <c r="B96" s="139" t="s">
        <v>171</v>
      </c>
      <c r="C96" s="91"/>
      <c r="D96" s="92"/>
      <c r="E96" s="297"/>
      <c r="F96" s="140">
        <f>F94+F95</f>
        <v>30550</v>
      </c>
      <c r="G96" s="140">
        <f>G94+G95</f>
        <v>30800</v>
      </c>
      <c r="H96" s="140">
        <f t="shared" ref="H96:Q96" si="81">H94+H95</f>
        <v>39800</v>
      </c>
      <c r="I96" s="140">
        <f t="shared" si="81"/>
        <v>39800</v>
      </c>
      <c r="J96" s="140">
        <f t="shared" si="81"/>
        <v>39800</v>
      </c>
      <c r="K96" s="140">
        <f t="shared" si="81"/>
        <v>39800</v>
      </c>
      <c r="L96" s="140">
        <f t="shared" si="81"/>
        <v>39800</v>
      </c>
      <c r="M96" s="140">
        <f t="shared" si="81"/>
        <v>32828.916666666664</v>
      </c>
      <c r="N96" s="140">
        <f t="shared" ref="N96:P96" si="82">N94+N95</f>
        <v>32828.916666666664</v>
      </c>
      <c r="O96" s="140">
        <f t="shared" si="82"/>
        <v>32828.916666666664</v>
      </c>
      <c r="P96" s="140">
        <f t="shared" si="82"/>
        <v>32828.916666666664</v>
      </c>
      <c r="Q96" s="140">
        <f t="shared" si="81"/>
        <v>32828.916666666664</v>
      </c>
      <c r="R96" s="141">
        <f>Q96</f>
        <v>32828.916666666664</v>
      </c>
    </row>
    <row r="97" spans="2:18" x14ac:dyDescent="0.2">
      <c r="B97" s="86"/>
      <c r="C97" s="49"/>
      <c r="D97" s="98"/>
      <c r="E97" s="99"/>
      <c r="F97" s="294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6"/>
    </row>
    <row r="98" spans="2:18" x14ac:dyDescent="0.2">
      <c r="B98" s="137" t="s">
        <v>172</v>
      </c>
      <c r="C98" s="49" t="s">
        <v>166</v>
      </c>
      <c r="D98" s="72">
        <v>0</v>
      </c>
      <c r="E98" s="118"/>
      <c r="F98" s="294">
        <f>D98+F114</f>
        <v>0</v>
      </c>
      <c r="G98" s="135">
        <f>F98+G114</f>
        <v>0</v>
      </c>
      <c r="H98" s="135">
        <f t="shared" ref="H98:M98" si="83">G98+H114</f>
        <v>0</v>
      </c>
      <c r="I98" s="135">
        <f t="shared" si="83"/>
        <v>0</v>
      </c>
      <c r="J98" s="135">
        <f t="shared" si="83"/>
        <v>0</v>
      </c>
      <c r="K98" s="135">
        <f t="shared" si="83"/>
        <v>0</v>
      </c>
      <c r="L98" s="135">
        <f t="shared" si="83"/>
        <v>0</v>
      </c>
      <c r="M98" s="135">
        <f t="shared" si="83"/>
        <v>0</v>
      </c>
      <c r="N98" s="135">
        <f>K98+N114</f>
        <v>0</v>
      </c>
      <c r="O98" s="135">
        <f>L98+O114</f>
        <v>0</v>
      </c>
      <c r="P98" s="135">
        <f>L98+P114</f>
        <v>0</v>
      </c>
      <c r="Q98" s="135">
        <f>M98+Q114</f>
        <v>0</v>
      </c>
      <c r="R98" s="136">
        <f>Q98</f>
        <v>0</v>
      </c>
    </row>
    <row r="99" spans="2:18" x14ac:dyDescent="0.2">
      <c r="B99" s="137" t="s">
        <v>173</v>
      </c>
      <c r="C99" s="49" t="s">
        <v>166</v>
      </c>
      <c r="D99" s="72">
        <v>0</v>
      </c>
      <c r="E99" s="118"/>
      <c r="F99" s="294">
        <f>D99+F84</f>
        <v>-115348</v>
      </c>
      <c r="G99" s="135">
        <f t="shared" ref="G99:M99" si="84">F99+G84</f>
        <v>-230919</v>
      </c>
      <c r="H99" s="135">
        <f t="shared" si="84"/>
        <v>-381713</v>
      </c>
      <c r="I99" s="135">
        <f t="shared" si="84"/>
        <v>-530930</v>
      </c>
      <c r="J99" s="135">
        <f t="shared" si="84"/>
        <v>-678570</v>
      </c>
      <c r="K99" s="135">
        <f t="shared" si="84"/>
        <v>-824633</v>
      </c>
      <c r="L99" s="135">
        <f t="shared" si="84"/>
        <v>-969119</v>
      </c>
      <c r="M99" s="135">
        <f t="shared" si="84"/>
        <v>-1069243.6666666667</v>
      </c>
      <c r="N99" s="135">
        <f>K99+N84</f>
        <v>-804355.66666666663</v>
      </c>
      <c r="O99" s="135">
        <f>L99+O84</f>
        <v>-937464.66666666663</v>
      </c>
      <c r="P99" s="135">
        <f>L99+P84</f>
        <v>-927787.66666666663</v>
      </c>
      <c r="Q99" s="135">
        <f>M99+Q84</f>
        <v>-1017435.3333333334</v>
      </c>
      <c r="R99" s="136" t="e">
        <f>#REF!</f>
        <v>#REF!</v>
      </c>
    </row>
    <row r="100" spans="2:18" x14ac:dyDescent="0.2">
      <c r="B100" s="139" t="s">
        <v>174</v>
      </c>
      <c r="C100" s="91"/>
      <c r="D100" s="92"/>
      <c r="E100" s="297"/>
      <c r="F100" s="140">
        <f t="shared" ref="F100:Q100" si="85">F98+F99</f>
        <v>-115348</v>
      </c>
      <c r="G100" s="140">
        <f t="shared" si="85"/>
        <v>-230919</v>
      </c>
      <c r="H100" s="140">
        <f t="shared" si="85"/>
        <v>-381713</v>
      </c>
      <c r="I100" s="140">
        <f t="shared" si="85"/>
        <v>-530930</v>
      </c>
      <c r="J100" s="140">
        <f t="shared" si="85"/>
        <v>-678570</v>
      </c>
      <c r="K100" s="140">
        <f t="shared" si="85"/>
        <v>-824633</v>
      </c>
      <c r="L100" s="140">
        <f t="shared" si="85"/>
        <v>-969119</v>
      </c>
      <c r="M100" s="140">
        <f t="shared" si="85"/>
        <v>-1069243.6666666667</v>
      </c>
      <c r="N100" s="140">
        <f t="shared" ref="N100:P100" si="86">N98+N99</f>
        <v>-804355.66666666663</v>
      </c>
      <c r="O100" s="140">
        <f t="shared" si="86"/>
        <v>-937464.66666666663</v>
      </c>
      <c r="P100" s="140">
        <f t="shared" si="86"/>
        <v>-927787.66666666663</v>
      </c>
      <c r="Q100" s="140">
        <f t="shared" si="85"/>
        <v>-1017435.3333333334</v>
      </c>
      <c r="R100" s="141" t="e">
        <f>#REF!</f>
        <v>#REF!</v>
      </c>
    </row>
    <row r="101" spans="2:18" x14ac:dyDescent="0.2">
      <c r="B101" s="139" t="s">
        <v>175</v>
      </c>
      <c r="C101" s="91"/>
      <c r="D101" s="92"/>
      <c r="E101" s="297"/>
      <c r="F101" s="140">
        <f t="shared" ref="F101:Q101" si="87">F96+F100</f>
        <v>-84798</v>
      </c>
      <c r="G101" s="140">
        <f t="shared" si="87"/>
        <v>-200119</v>
      </c>
      <c r="H101" s="140">
        <f t="shared" si="87"/>
        <v>-341913</v>
      </c>
      <c r="I101" s="140">
        <f t="shared" si="87"/>
        <v>-491130</v>
      </c>
      <c r="J101" s="140">
        <f t="shared" si="87"/>
        <v>-638770</v>
      </c>
      <c r="K101" s="140">
        <f t="shared" si="87"/>
        <v>-784833</v>
      </c>
      <c r="L101" s="140">
        <f t="shared" si="87"/>
        <v>-929319</v>
      </c>
      <c r="M101" s="140">
        <f t="shared" si="87"/>
        <v>-1036414.7500000001</v>
      </c>
      <c r="N101" s="140">
        <f t="shared" ref="N101:P101" si="88">N96+N100</f>
        <v>-771526.75</v>
      </c>
      <c r="O101" s="140">
        <f t="shared" si="88"/>
        <v>-904635.75</v>
      </c>
      <c r="P101" s="140">
        <f t="shared" si="88"/>
        <v>-894958.75</v>
      </c>
      <c r="Q101" s="140">
        <f t="shared" si="87"/>
        <v>-984606.41666666674</v>
      </c>
      <c r="R101" s="141" t="e">
        <f>#REF!</f>
        <v>#REF!</v>
      </c>
    </row>
    <row r="102" spans="2:18" x14ac:dyDescent="0.2">
      <c r="B102" s="142" t="s">
        <v>176</v>
      </c>
      <c r="C102" s="143"/>
      <c r="D102" s="144"/>
      <c r="E102" s="298"/>
      <c r="F102" s="145">
        <f>F101-F92</f>
        <v>-900000</v>
      </c>
      <c r="G102" s="145">
        <f t="shared" ref="G102:Q102" si="89">G101-G92</f>
        <v>-900000</v>
      </c>
      <c r="H102" s="145">
        <f t="shared" si="89"/>
        <v>-900000</v>
      </c>
      <c r="I102" s="145">
        <f t="shared" si="89"/>
        <v>-900000</v>
      </c>
      <c r="J102" s="145">
        <f t="shared" si="89"/>
        <v>-900000</v>
      </c>
      <c r="K102" s="145">
        <f t="shared" si="89"/>
        <v>-900000</v>
      </c>
      <c r="L102" s="145">
        <f t="shared" si="89"/>
        <v>-900000</v>
      </c>
      <c r="M102" s="145">
        <f t="shared" si="89"/>
        <v>-900000.00000000012</v>
      </c>
      <c r="N102" s="145">
        <f t="shared" ref="N102:P102" si="90">N101-N92</f>
        <v>-900000</v>
      </c>
      <c r="O102" s="145">
        <f t="shared" si="90"/>
        <v>-900000</v>
      </c>
      <c r="P102" s="145">
        <f t="shared" si="90"/>
        <v>-900000</v>
      </c>
      <c r="Q102" s="145">
        <f t="shared" si="89"/>
        <v>-900000</v>
      </c>
      <c r="R102" s="146">
        <f>Q102</f>
        <v>-900000</v>
      </c>
    </row>
    <row r="103" spans="2:18" x14ac:dyDescent="0.2">
      <c r="B103" s="99"/>
      <c r="C103" s="49"/>
      <c r="D103" s="98"/>
      <c r="E103" s="99"/>
      <c r="F103" s="295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8"/>
    </row>
    <row r="104" spans="2:18" x14ac:dyDescent="0.2">
      <c r="B104" s="149" t="s">
        <v>177</v>
      </c>
      <c r="C104" s="49"/>
      <c r="D104" s="98"/>
      <c r="E104" s="99"/>
      <c r="F104" s="295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8"/>
    </row>
    <row r="105" spans="2:18" x14ac:dyDescent="0.2">
      <c r="B105" s="137" t="s">
        <v>159</v>
      </c>
      <c r="C105" s="49"/>
      <c r="D105" s="98"/>
      <c r="E105" s="99"/>
      <c r="F105" s="294">
        <f>F84</f>
        <v>-115348</v>
      </c>
      <c r="G105" s="135">
        <f t="shared" ref="G105:Q105" si="91">G84</f>
        <v>-115571</v>
      </c>
      <c r="H105" s="135">
        <f t="shared" si="91"/>
        <v>-150794</v>
      </c>
      <c r="I105" s="135">
        <f t="shared" si="91"/>
        <v>-149217</v>
      </c>
      <c r="J105" s="135">
        <f t="shared" si="91"/>
        <v>-147640</v>
      </c>
      <c r="K105" s="135">
        <f t="shared" si="91"/>
        <v>-146063</v>
      </c>
      <c r="L105" s="135">
        <f t="shared" si="91"/>
        <v>-144486</v>
      </c>
      <c r="M105" s="135">
        <f t="shared" si="91"/>
        <v>-100124.66666666667</v>
      </c>
      <c r="N105" s="135">
        <f t="shared" ref="N105:P105" si="92">N84</f>
        <v>20277.333333333332</v>
      </c>
      <c r="O105" s="135">
        <f t="shared" si="92"/>
        <v>31654.333333333332</v>
      </c>
      <c r="P105" s="135">
        <f t="shared" si="92"/>
        <v>41331.333333333328</v>
      </c>
      <c r="Q105" s="135">
        <f t="shared" si="91"/>
        <v>51808.333333333328</v>
      </c>
      <c r="R105" s="136"/>
    </row>
    <row r="106" spans="2:18" x14ac:dyDescent="0.2">
      <c r="B106" s="137" t="s">
        <v>178</v>
      </c>
      <c r="C106" s="49"/>
      <c r="D106" s="98"/>
      <c r="E106" s="99"/>
      <c r="F106" s="135">
        <f>F94-F89</f>
        <v>550</v>
      </c>
      <c r="G106" s="135">
        <f t="shared" ref="G106:M106" si="93">F89-G89+G94-F94</f>
        <v>-150</v>
      </c>
      <c r="H106" s="135">
        <f t="shared" si="93"/>
        <v>8600</v>
      </c>
      <c r="I106" s="135">
        <f t="shared" si="93"/>
        <v>-800</v>
      </c>
      <c r="J106" s="135">
        <f t="shared" si="93"/>
        <v>-800</v>
      </c>
      <c r="K106" s="135">
        <f t="shared" si="93"/>
        <v>-800</v>
      </c>
      <c r="L106" s="135">
        <f t="shared" si="93"/>
        <v>-800</v>
      </c>
      <c r="M106" s="135">
        <f t="shared" si="93"/>
        <v>-15221.083333333332</v>
      </c>
      <c r="N106" s="135">
        <f>K89-N89+N94-K94</f>
        <v>-19671.083333333332</v>
      </c>
      <c r="O106" s="135">
        <f>L89-O89+O94-L94</f>
        <v>-24571.083333333332</v>
      </c>
      <c r="P106" s="135">
        <f>L89-P89+P94-L94</f>
        <v>-29421.083333333332</v>
      </c>
      <c r="Q106" s="135">
        <f>M89-Q89+Q94-M94</f>
        <v>-19450</v>
      </c>
      <c r="R106" s="136"/>
    </row>
    <row r="107" spans="2:18" x14ac:dyDescent="0.2">
      <c r="B107" s="137" t="s">
        <v>179</v>
      </c>
      <c r="C107" s="49"/>
      <c r="D107" s="98"/>
      <c r="E107" s="99"/>
      <c r="F107" s="294">
        <f>D91-F91+F95-D95</f>
        <v>0</v>
      </c>
      <c r="G107" s="135">
        <f t="shared" ref="G107:M107" si="94">F91-G91+G95-F95</f>
        <v>0</v>
      </c>
      <c r="H107" s="135">
        <f t="shared" si="94"/>
        <v>0</v>
      </c>
      <c r="I107" s="135">
        <f t="shared" si="94"/>
        <v>0</v>
      </c>
      <c r="J107" s="135">
        <f t="shared" si="94"/>
        <v>0</v>
      </c>
      <c r="K107" s="135">
        <f t="shared" si="94"/>
        <v>0</v>
      </c>
      <c r="L107" s="135">
        <f t="shared" si="94"/>
        <v>0</v>
      </c>
      <c r="M107" s="135">
        <f t="shared" si="94"/>
        <v>0</v>
      </c>
      <c r="N107" s="135">
        <f>K91-N91+N95-K95</f>
        <v>0</v>
      </c>
      <c r="O107" s="135">
        <f>L91-O91+O95-L95</f>
        <v>0</v>
      </c>
      <c r="P107" s="135">
        <f>L91-P91+P95-L95</f>
        <v>0</v>
      </c>
      <c r="Q107" s="135">
        <f>M91-Q91+Q95-M95</f>
        <v>0</v>
      </c>
      <c r="R107" s="136"/>
    </row>
    <row r="108" spans="2:18" x14ac:dyDescent="0.2">
      <c r="B108" s="139" t="s">
        <v>180</v>
      </c>
      <c r="C108" s="91"/>
      <c r="D108" s="92"/>
      <c r="E108" s="297"/>
      <c r="F108" s="140">
        <f>F105+F106+F107</f>
        <v>-114798</v>
      </c>
      <c r="G108" s="140">
        <f t="shared" ref="G108:Q108" si="95">G105+G106+G107</f>
        <v>-115721</v>
      </c>
      <c r="H108" s="140">
        <f t="shared" si="95"/>
        <v>-142194</v>
      </c>
      <c r="I108" s="140">
        <f t="shared" si="95"/>
        <v>-150017</v>
      </c>
      <c r="J108" s="140">
        <f t="shared" si="95"/>
        <v>-148440</v>
      </c>
      <c r="K108" s="140">
        <f t="shared" si="95"/>
        <v>-146863</v>
      </c>
      <c r="L108" s="140">
        <f t="shared" si="95"/>
        <v>-145286</v>
      </c>
      <c r="M108" s="140">
        <f t="shared" si="95"/>
        <v>-115345.75</v>
      </c>
      <c r="N108" s="140">
        <f t="shared" ref="N108:P108" si="96">N105+N106+N107</f>
        <v>606.25</v>
      </c>
      <c r="O108" s="140">
        <f t="shared" si="96"/>
        <v>7083.25</v>
      </c>
      <c r="P108" s="140">
        <f t="shared" si="96"/>
        <v>11910.249999999996</v>
      </c>
      <c r="Q108" s="140">
        <f t="shared" si="95"/>
        <v>32358.333333333328</v>
      </c>
      <c r="R108" s="141"/>
    </row>
    <row r="109" spans="2:18" x14ac:dyDescent="0.2">
      <c r="B109" s="137"/>
      <c r="C109" s="49"/>
      <c r="D109" s="98"/>
      <c r="E109" s="99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1"/>
    </row>
    <row r="110" spans="2:18" x14ac:dyDescent="0.2">
      <c r="B110" s="137" t="s">
        <v>181</v>
      </c>
      <c r="C110" s="49" t="s">
        <v>131</v>
      </c>
      <c r="D110" s="72">
        <v>0</v>
      </c>
      <c r="E110" s="118"/>
      <c r="F110" s="152">
        <f>D110</f>
        <v>0</v>
      </c>
      <c r="G110" s="152">
        <f t="shared" ref="G110:M111" si="97">F110</f>
        <v>0</v>
      </c>
      <c r="H110" s="152">
        <f t="shared" si="97"/>
        <v>0</v>
      </c>
      <c r="I110" s="152">
        <f t="shared" si="97"/>
        <v>0</v>
      </c>
      <c r="J110" s="152">
        <f t="shared" si="97"/>
        <v>0</v>
      </c>
      <c r="K110" s="152">
        <f t="shared" si="97"/>
        <v>0</v>
      </c>
      <c r="L110" s="152">
        <f t="shared" si="97"/>
        <v>0</v>
      </c>
      <c r="M110" s="152">
        <f t="shared" si="97"/>
        <v>0</v>
      </c>
      <c r="N110" s="152">
        <f>K110</f>
        <v>0</v>
      </c>
      <c r="O110" s="152">
        <f>L110</f>
        <v>0</v>
      </c>
      <c r="P110" s="152">
        <f>L110</f>
        <v>0</v>
      </c>
      <c r="Q110" s="152">
        <f>M110</f>
        <v>0</v>
      </c>
      <c r="R110" s="153"/>
    </row>
    <row r="111" spans="2:18" x14ac:dyDescent="0.2">
      <c r="B111" s="137" t="s">
        <v>182</v>
      </c>
      <c r="C111" s="49" t="s">
        <v>131</v>
      </c>
      <c r="D111" s="72">
        <v>0</v>
      </c>
      <c r="E111" s="118"/>
      <c r="F111" s="152">
        <f>D111</f>
        <v>0</v>
      </c>
      <c r="G111" s="152">
        <f t="shared" si="97"/>
        <v>0</v>
      </c>
      <c r="H111" s="152">
        <f t="shared" si="97"/>
        <v>0</v>
      </c>
      <c r="I111" s="152">
        <f t="shared" si="97"/>
        <v>0</v>
      </c>
      <c r="J111" s="152">
        <f t="shared" si="97"/>
        <v>0</v>
      </c>
      <c r="K111" s="152">
        <f t="shared" si="97"/>
        <v>0</v>
      </c>
      <c r="L111" s="152">
        <f t="shared" si="97"/>
        <v>0</v>
      </c>
      <c r="M111" s="152">
        <f t="shared" si="97"/>
        <v>0</v>
      </c>
      <c r="N111" s="152">
        <f>K111</f>
        <v>0</v>
      </c>
      <c r="O111" s="152">
        <f>L111</f>
        <v>0</v>
      </c>
      <c r="P111" s="152">
        <f>L111</f>
        <v>0</v>
      </c>
      <c r="Q111" s="152">
        <f>M111</f>
        <v>0</v>
      </c>
      <c r="R111" s="153"/>
    </row>
    <row r="112" spans="2:18" x14ac:dyDescent="0.2">
      <c r="B112" s="139" t="s">
        <v>183</v>
      </c>
      <c r="C112" s="91"/>
      <c r="D112" s="92"/>
      <c r="E112" s="297"/>
      <c r="F112" s="154">
        <f t="shared" ref="F112:Q112" si="98">F110+F111</f>
        <v>0</v>
      </c>
      <c r="G112" s="154">
        <f t="shared" si="98"/>
        <v>0</v>
      </c>
      <c r="H112" s="154">
        <f t="shared" si="98"/>
        <v>0</v>
      </c>
      <c r="I112" s="154">
        <f t="shared" si="98"/>
        <v>0</v>
      </c>
      <c r="J112" s="154">
        <f t="shared" si="98"/>
        <v>0</v>
      </c>
      <c r="K112" s="154">
        <f t="shared" si="98"/>
        <v>0</v>
      </c>
      <c r="L112" s="154">
        <f t="shared" si="98"/>
        <v>0</v>
      </c>
      <c r="M112" s="154">
        <f t="shared" si="98"/>
        <v>0</v>
      </c>
      <c r="N112" s="154">
        <f t="shared" ref="N112:P112" si="99">N110+N111</f>
        <v>0</v>
      </c>
      <c r="O112" s="154">
        <f t="shared" si="99"/>
        <v>0</v>
      </c>
      <c r="P112" s="154">
        <f t="shared" si="99"/>
        <v>0</v>
      </c>
      <c r="Q112" s="154">
        <f t="shared" si="98"/>
        <v>0</v>
      </c>
      <c r="R112" s="155"/>
    </row>
    <row r="113" spans="2:18" x14ac:dyDescent="0.2">
      <c r="B113" s="137"/>
      <c r="C113" s="49"/>
      <c r="D113" s="98"/>
      <c r="E113" s="99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1"/>
    </row>
    <row r="114" spans="2:18" x14ac:dyDescent="0.2">
      <c r="B114" s="137" t="s">
        <v>184</v>
      </c>
      <c r="C114" s="49"/>
      <c r="D114" s="117"/>
      <c r="E114" s="156"/>
      <c r="F114" s="58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>
        <v>0</v>
      </c>
      <c r="R114" s="64">
        <f>SUM(F114:Q114)</f>
        <v>0</v>
      </c>
    </row>
    <row r="115" spans="2:18" x14ac:dyDescent="0.2">
      <c r="B115" s="137" t="s">
        <v>185</v>
      </c>
      <c r="C115" s="49"/>
      <c r="D115" s="117"/>
      <c r="E115" s="158"/>
      <c r="F115" s="157">
        <v>0</v>
      </c>
      <c r="G115" s="157">
        <v>0</v>
      </c>
      <c r="H115" s="157">
        <v>0</v>
      </c>
      <c r="I115" s="157">
        <v>0</v>
      </c>
      <c r="J115" s="157">
        <v>0</v>
      </c>
      <c r="K115" s="157">
        <v>0</v>
      </c>
      <c r="L115" s="157">
        <v>0</v>
      </c>
      <c r="M115" s="157">
        <v>0</v>
      </c>
      <c r="N115" s="157">
        <v>0</v>
      </c>
      <c r="O115" s="157">
        <v>0</v>
      </c>
      <c r="P115" s="157">
        <v>0</v>
      </c>
      <c r="Q115" s="157">
        <v>0</v>
      </c>
      <c r="R115" s="64">
        <f>SUM(F115:Q115)</f>
        <v>0</v>
      </c>
    </row>
    <row r="116" spans="2:18" x14ac:dyDescent="0.2">
      <c r="B116" s="137" t="s">
        <v>186</v>
      </c>
      <c r="C116" s="49"/>
      <c r="D116" s="98"/>
      <c r="E116" s="99"/>
      <c r="F116" s="157">
        <v>0</v>
      </c>
      <c r="G116" s="157">
        <v>0</v>
      </c>
      <c r="H116" s="157">
        <v>0</v>
      </c>
      <c r="I116" s="157">
        <v>0</v>
      </c>
      <c r="J116" s="157">
        <v>0</v>
      </c>
      <c r="K116" s="157">
        <v>0</v>
      </c>
      <c r="L116" s="157">
        <v>0</v>
      </c>
      <c r="M116" s="157">
        <v>0</v>
      </c>
      <c r="N116" s="157">
        <v>0</v>
      </c>
      <c r="O116" s="157">
        <v>0</v>
      </c>
      <c r="P116" s="157">
        <v>0</v>
      </c>
      <c r="Q116" s="157">
        <v>0</v>
      </c>
      <c r="R116" s="64">
        <f>SUM(F116:Q116)</f>
        <v>0</v>
      </c>
    </row>
    <row r="117" spans="2:18" x14ac:dyDescent="0.2">
      <c r="B117" s="137" t="s">
        <v>187</v>
      </c>
      <c r="C117" s="49"/>
      <c r="D117" s="98"/>
      <c r="E117" s="99"/>
      <c r="F117" s="157">
        <v>0</v>
      </c>
      <c r="G117" s="157">
        <v>0</v>
      </c>
      <c r="H117" s="157">
        <v>0</v>
      </c>
      <c r="I117" s="157">
        <v>0</v>
      </c>
      <c r="J117" s="157">
        <v>0</v>
      </c>
      <c r="K117" s="157">
        <v>0</v>
      </c>
      <c r="L117" s="157">
        <v>0</v>
      </c>
      <c r="M117" s="157">
        <v>0</v>
      </c>
      <c r="N117" s="157">
        <v>0</v>
      </c>
      <c r="O117" s="157">
        <v>0</v>
      </c>
      <c r="P117" s="157">
        <v>0</v>
      </c>
      <c r="Q117" s="157">
        <v>0</v>
      </c>
      <c r="R117" s="64">
        <f>SUM(F117:Q117)</f>
        <v>0</v>
      </c>
    </row>
    <row r="118" spans="2:18" x14ac:dyDescent="0.2">
      <c r="B118" s="139" t="s">
        <v>188</v>
      </c>
      <c r="C118" s="91"/>
      <c r="D118" s="92"/>
      <c r="E118" s="297"/>
      <c r="F118" s="154">
        <f t="shared" ref="F118:Q118" si="100">SUM(F114:F117)</f>
        <v>0</v>
      </c>
      <c r="G118" s="154">
        <f t="shared" si="100"/>
        <v>0</v>
      </c>
      <c r="H118" s="154">
        <f t="shared" si="100"/>
        <v>0</v>
      </c>
      <c r="I118" s="154">
        <f t="shared" si="100"/>
        <v>0</v>
      </c>
      <c r="J118" s="154">
        <f t="shared" si="100"/>
        <v>0</v>
      </c>
      <c r="K118" s="154">
        <f t="shared" si="100"/>
        <v>0</v>
      </c>
      <c r="L118" s="154">
        <f t="shared" si="100"/>
        <v>0</v>
      </c>
      <c r="M118" s="154">
        <f t="shared" si="100"/>
        <v>0</v>
      </c>
      <c r="N118" s="154">
        <f t="shared" ref="N118:P118" si="101">SUM(N114:N117)</f>
        <v>0</v>
      </c>
      <c r="O118" s="154">
        <f t="shared" si="101"/>
        <v>0</v>
      </c>
      <c r="P118" s="154">
        <f t="shared" si="101"/>
        <v>0</v>
      </c>
      <c r="Q118" s="154">
        <f t="shared" si="100"/>
        <v>0</v>
      </c>
      <c r="R118" s="155"/>
    </row>
    <row r="119" spans="2:18" x14ac:dyDescent="0.2">
      <c r="B119" s="137"/>
      <c r="C119" s="49"/>
      <c r="D119" s="98"/>
      <c r="E119" s="99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1"/>
    </row>
    <row r="120" spans="2:18" x14ac:dyDescent="0.2">
      <c r="B120" s="137" t="s">
        <v>189</v>
      </c>
      <c r="C120" s="49" t="s">
        <v>190</v>
      </c>
      <c r="D120" s="291">
        <v>900000</v>
      </c>
      <c r="E120" s="299"/>
      <c r="F120" s="294">
        <f>D120</f>
        <v>900000</v>
      </c>
      <c r="G120" s="135">
        <f t="shared" ref="G120:M120" si="102">F88</f>
        <v>785202</v>
      </c>
      <c r="H120" s="135">
        <f t="shared" si="102"/>
        <v>669481</v>
      </c>
      <c r="I120" s="135">
        <f t="shared" si="102"/>
        <v>527287</v>
      </c>
      <c r="J120" s="135">
        <f t="shared" si="102"/>
        <v>377270</v>
      </c>
      <c r="K120" s="135">
        <f t="shared" si="102"/>
        <v>228830</v>
      </c>
      <c r="L120" s="135">
        <f t="shared" si="102"/>
        <v>81967</v>
      </c>
      <c r="M120" s="135">
        <f t="shared" si="102"/>
        <v>-63319</v>
      </c>
      <c r="N120" s="135">
        <f>K88</f>
        <v>81967</v>
      </c>
      <c r="O120" s="135">
        <f>L88</f>
        <v>-63319</v>
      </c>
      <c r="P120" s="135">
        <f>L88</f>
        <v>-63319</v>
      </c>
      <c r="Q120" s="135">
        <f>M88</f>
        <v>-178664.75</v>
      </c>
      <c r="R120" s="136"/>
    </row>
    <row r="121" spans="2:18" x14ac:dyDescent="0.2">
      <c r="B121" s="137" t="s">
        <v>191</v>
      </c>
      <c r="C121" s="49"/>
      <c r="D121" s="98"/>
      <c r="E121" s="99"/>
      <c r="F121" s="294">
        <f>F108+F112+F118</f>
        <v>-114798</v>
      </c>
      <c r="G121" s="135">
        <f t="shared" ref="G121:Q121" si="103">G108+G112+G118</f>
        <v>-115721</v>
      </c>
      <c r="H121" s="135">
        <f t="shared" si="103"/>
        <v>-142194</v>
      </c>
      <c r="I121" s="135">
        <f t="shared" si="103"/>
        <v>-150017</v>
      </c>
      <c r="J121" s="135">
        <f t="shared" si="103"/>
        <v>-148440</v>
      </c>
      <c r="K121" s="135">
        <f t="shared" si="103"/>
        <v>-146863</v>
      </c>
      <c r="L121" s="135">
        <f t="shared" si="103"/>
        <v>-145286</v>
      </c>
      <c r="M121" s="135">
        <f t="shared" si="103"/>
        <v>-115345.75</v>
      </c>
      <c r="N121" s="135">
        <f t="shared" ref="N121:P121" si="104">N108+N112+N118</f>
        <v>606.25</v>
      </c>
      <c r="O121" s="135">
        <f t="shared" si="104"/>
        <v>7083.25</v>
      </c>
      <c r="P121" s="135">
        <f t="shared" si="104"/>
        <v>11910.249999999996</v>
      </c>
      <c r="Q121" s="135">
        <f t="shared" si="103"/>
        <v>32358.333333333328</v>
      </c>
      <c r="R121" s="136"/>
    </row>
    <row r="122" spans="2:18" x14ac:dyDescent="0.2">
      <c r="B122" s="139" t="s">
        <v>192</v>
      </c>
      <c r="C122" s="91"/>
      <c r="D122" s="92"/>
      <c r="E122" s="297"/>
      <c r="F122" s="140">
        <f t="shared" ref="F122:Q122" si="105">F120+F121</f>
        <v>785202</v>
      </c>
      <c r="G122" s="140">
        <f t="shared" si="105"/>
        <v>669481</v>
      </c>
      <c r="H122" s="140">
        <f>H120+H121</f>
        <v>527287</v>
      </c>
      <c r="I122" s="140">
        <f t="shared" si="105"/>
        <v>377270</v>
      </c>
      <c r="J122" s="140">
        <f t="shared" si="105"/>
        <v>228830</v>
      </c>
      <c r="K122" s="140">
        <f t="shared" si="105"/>
        <v>81967</v>
      </c>
      <c r="L122" s="140">
        <f t="shared" si="105"/>
        <v>-63319</v>
      </c>
      <c r="M122" s="140">
        <f t="shared" si="105"/>
        <v>-178664.75</v>
      </c>
      <c r="N122" s="140">
        <f t="shared" ref="N122:P122" si="106">N120+N121</f>
        <v>82573.25</v>
      </c>
      <c r="O122" s="140">
        <f t="shared" si="106"/>
        <v>-56235.75</v>
      </c>
      <c r="P122" s="140">
        <f t="shared" si="106"/>
        <v>-51408.75</v>
      </c>
      <c r="Q122" s="140">
        <f t="shared" si="105"/>
        <v>-146306.41666666669</v>
      </c>
      <c r="R122" s="141">
        <f>Q122</f>
        <v>-146306.41666666669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FA6B-7181-7A42-AFB9-F80630AE44D6}">
  <dimension ref="B1:G37"/>
  <sheetViews>
    <sheetView workbookViewId="0">
      <selection activeCell="F19" sqref="F19"/>
    </sheetView>
  </sheetViews>
  <sheetFormatPr baseColWidth="10" defaultRowHeight="16" x14ac:dyDescent="0.2"/>
  <cols>
    <col min="1" max="1" width="10.83203125" style="79"/>
    <col min="2" max="2" width="47.5" style="79" bestFit="1" customWidth="1"/>
    <col min="3" max="3" width="19" style="79" customWidth="1"/>
    <col min="4" max="4" width="18" style="79" customWidth="1"/>
    <col min="5" max="5" width="25.83203125" style="79" bestFit="1" customWidth="1"/>
    <col min="6" max="6" width="16.33203125" style="79" bestFit="1" customWidth="1"/>
    <col min="7" max="16384" width="10.83203125" style="79"/>
  </cols>
  <sheetData>
    <row r="1" spans="2:6" s="309" customFormat="1" x14ac:dyDescent="0.2"/>
    <row r="2" spans="2:6" s="309" customFormat="1" x14ac:dyDescent="0.2">
      <c r="B2" s="41" t="s">
        <v>112</v>
      </c>
      <c r="C2" s="310"/>
      <c r="D2" s="310"/>
    </row>
    <row r="3" spans="2:6" x14ac:dyDescent="0.2">
      <c r="B3" s="41"/>
      <c r="C3" s="310"/>
      <c r="D3" s="310"/>
    </row>
    <row r="4" spans="2:6" x14ac:dyDescent="0.2">
      <c r="B4" s="41"/>
      <c r="C4" s="310"/>
      <c r="D4" s="310"/>
    </row>
    <row r="5" spans="2:6" x14ac:dyDescent="0.2">
      <c r="B5" s="360" t="s">
        <v>287</v>
      </c>
      <c r="C5" s="360"/>
      <c r="D5" s="310"/>
      <c r="E5" s="311" t="s">
        <v>289</v>
      </c>
      <c r="F5" s="325"/>
    </row>
    <row r="6" spans="2:6" x14ac:dyDescent="0.2">
      <c r="B6" s="43"/>
      <c r="C6" s="347" t="s">
        <v>286</v>
      </c>
      <c r="D6" s="310"/>
      <c r="E6" s="314" t="s">
        <v>293</v>
      </c>
    </row>
    <row r="7" spans="2:6" x14ac:dyDescent="0.2">
      <c r="B7" s="43" t="str">
        <f>'Phase 1'!B46</f>
        <v>Facility #1 Buildout + Demo</v>
      </c>
      <c r="C7" s="348">
        <f>'Phase 1'!R46</f>
        <v>905000</v>
      </c>
      <c r="D7" s="310"/>
    </row>
    <row r="8" spans="2:6" x14ac:dyDescent="0.2">
      <c r="B8" s="297" t="str">
        <f>'Phase 1'!B44</f>
        <v>Amazon S3 (per GB)</v>
      </c>
      <c r="C8" s="348">
        <f>'Phase 1'!R44</f>
        <v>1794</v>
      </c>
      <c r="D8" s="310"/>
    </row>
    <row r="9" spans="2:6" x14ac:dyDescent="0.2">
      <c r="B9" s="90" t="str">
        <f>'Phase 1'!B56</f>
        <v>Events</v>
      </c>
      <c r="C9" s="348">
        <f>'Phase 1'!R56</f>
        <v>11000</v>
      </c>
      <c r="D9" s="310"/>
    </row>
    <row r="10" spans="2:6" x14ac:dyDescent="0.2">
      <c r="B10" s="346" t="str">
        <f>'Phase 1'!B59</f>
        <v>Facility manager</v>
      </c>
      <c r="C10" s="349">
        <f>'Phase 1'!R64</f>
        <v>40078.333333333336</v>
      </c>
      <c r="D10" s="310"/>
    </row>
    <row r="11" spans="2:6" x14ac:dyDescent="0.2">
      <c r="B11" s="90" t="str">
        <f>'Phase 1'!B67</f>
        <v>UI/UX</v>
      </c>
      <c r="C11" s="348">
        <f>'Phase 1'!R67</f>
        <v>6000</v>
      </c>
      <c r="D11" s="310"/>
    </row>
    <row r="12" spans="2:6" x14ac:dyDescent="0.2">
      <c r="B12" s="346" t="s">
        <v>253</v>
      </c>
      <c r="C12" s="349">
        <f>'Phase 1'!R68</f>
        <v>60000</v>
      </c>
      <c r="D12" s="310"/>
    </row>
    <row r="13" spans="2:6" x14ac:dyDescent="0.2">
      <c r="B13" s="90" t="str">
        <f>'Phase 1'!B74</f>
        <v>Web Services</v>
      </c>
      <c r="C13" s="348">
        <f>'Phase 1'!R74</f>
        <v>2400</v>
      </c>
      <c r="D13" s="310"/>
    </row>
    <row r="14" spans="2:6" x14ac:dyDescent="0.2">
      <c r="B14" s="90" t="str">
        <f>'Phase 1'!B77</f>
        <v>Legal/Compliance Spend</v>
      </c>
      <c r="C14" s="348">
        <f>'Phase 1'!R77</f>
        <v>6000</v>
      </c>
      <c r="D14" s="310"/>
    </row>
    <row r="15" spans="2:6" x14ac:dyDescent="0.2">
      <c r="B15" s="90" t="str">
        <f>'Phase 1'!B75</f>
        <v>Insurance Expenses</v>
      </c>
      <c r="C15" s="348">
        <f>'Phase 1'!R75</f>
        <v>500</v>
      </c>
      <c r="D15" s="310"/>
    </row>
    <row r="16" spans="2:6" x14ac:dyDescent="0.2">
      <c r="B16" s="83" t="s">
        <v>288</v>
      </c>
      <c r="C16" s="350">
        <f>SUM(C7:C15)</f>
        <v>1032772.3333333334</v>
      </c>
      <c r="D16" s="310"/>
    </row>
    <row r="17" spans="2:7" x14ac:dyDescent="0.2">
      <c r="B17" s="41"/>
      <c r="C17" s="310"/>
      <c r="D17" s="310"/>
    </row>
    <row r="18" spans="2:7" x14ac:dyDescent="0.2">
      <c r="B18" s="360" t="s">
        <v>256</v>
      </c>
      <c r="C18" s="360"/>
      <c r="D18" s="330"/>
    </row>
    <row r="19" spans="2:7" x14ac:dyDescent="0.2">
      <c r="B19" s="43"/>
      <c r="C19" s="312" t="s">
        <v>286</v>
      </c>
    </row>
    <row r="20" spans="2:7" x14ac:dyDescent="0.2">
      <c r="B20" s="43" t="s">
        <v>257</v>
      </c>
      <c r="C20" s="316">
        <f>'Phase 1'!R32</f>
        <v>240600</v>
      </c>
    </row>
    <row r="21" spans="2:7" x14ac:dyDescent="0.2">
      <c r="B21" s="297" t="s">
        <v>126</v>
      </c>
      <c r="C21" s="316">
        <f>'Phase 1'!R48</f>
        <v>-666194</v>
      </c>
    </row>
    <row r="22" spans="2:7" hidden="1" x14ac:dyDescent="0.2">
      <c r="B22" s="90" t="s">
        <v>258</v>
      </c>
      <c r="C22" s="316">
        <f>-'[1]Moderate Model'!R130</f>
        <v>-922258.33333333337</v>
      </c>
    </row>
    <row r="23" spans="2:7" x14ac:dyDescent="0.2">
      <c r="B23" s="90" t="s">
        <v>259</v>
      </c>
      <c r="C23" s="318">
        <f>'Phase 1'!R81</f>
        <v>-924172.33333333337</v>
      </c>
    </row>
    <row r="24" spans="2:7" x14ac:dyDescent="0.2">
      <c r="B24" s="90" t="s">
        <v>260</v>
      </c>
      <c r="C24" s="316">
        <f>'Phase 1'!R84</f>
        <v>-924172.33333333337</v>
      </c>
      <c r="D24" s="315"/>
    </row>
    <row r="25" spans="2:7" x14ac:dyDescent="0.2">
      <c r="B25" s="39"/>
      <c r="C25" s="310"/>
      <c r="D25" s="310"/>
    </row>
    <row r="26" spans="2:7" x14ac:dyDescent="0.2">
      <c r="B26" s="358" t="s">
        <v>278</v>
      </c>
      <c r="C26" s="358"/>
      <c r="D26" s="358"/>
      <c r="E26" s="358"/>
      <c r="F26" s="358"/>
      <c r="G26" s="358"/>
    </row>
    <row r="27" spans="2:7" x14ac:dyDescent="0.2">
      <c r="B27" s="43"/>
      <c r="C27" s="326"/>
      <c r="D27" s="353" t="s">
        <v>285</v>
      </c>
      <c r="E27" s="354"/>
      <c r="F27" s="354"/>
      <c r="G27" s="327" t="s">
        <v>58</v>
      </c>
    </row>
    <row r="28" spans="2:7" x14ac:dyDescent="0.2">
      <c r="B28" s="49"/>
      <c r="C28" s="323" t="s">
        <v>274</v>
      </c>
      <c r="D28" s="320" t="s">
        <v>208</v>
      </c>
      <c r="E28" s="321" t="s">
        <v>292</v>
      </c>
      <c r="F28" s="321" t="s">
        <v>277</v>
      </c>
      <c r="G28" s="328"/>
    </row>
    <row r="29" spans="2:7" x14ac:dyDescent="0.2">
      <c r="B29" s="345" t="s">
        <v>213</v>
      </c>
      <c r="C29" s="324">
        <f>'Phase 1'!E23</f>
        <v>100</v>
      </c>
      <c r="D29" s="322">
        <f>'Phase 1'!R15</f>
        <v>96</v>
      </c>
      <c r="E29" s="317">
        <f>'Phase 1'!R24</f>
        <v>36400</v>
      </c>
      <c r="F29" s="317"/>
      <c r="G29" s="329"/>
    </row>
    <row r="30" spans="2:7" x14ac:dyDescent="0.2">
      <c r="B30" s="345" t="s">
        <v>242</v>
      </c>
      <c r="C30" s="324">
        <f>'Phase 1'!E25</f>
        <v>180</v>
      </c>
      <c r="D30" s="322">
        <f>'Phase 1'!R17</f>
        <v>120</v>
      </c>
      <c r="E30" s="317">
        <f>'Phase 1'!R26</f>
        <v>81900</v>
      </c>
      <c r="F30" s="317"/>
      <c r="G30" s="329"/>
    </row>
    <row r="31" spans="2:7" x14ac:dyDescent="0.2">
      <c r="B31" s="345" t="s">
        <v>243</v>
      </c>
      <c r="C31" s="324">
        <f>'Phase 1'!E27</f>
        <v>300</v>
      </c>
      <c r="D31" s="322">
        <f>'Phase 1'!R19</f>
        <v>24</v>
      </c>
      <c r="E31" s="317">
        <f>'Phase 1'!R28</f>
        <v>27300</v>
      </c>
      <c r="F31" s="317"/>
      <c r="G31" s="329"/>
    </row>
    <row r="32" spans="2:7" x14ac:dyDescent="0.2">
      <c r="B32" s="83" t="s">
        <v>58</v>
      </c>
      <c r="C32" s="83"/>
      <c r="D32" s="331">
        <f>SUM(D29:D31)</f>
        <v>240</v>
      </c>
      <c r="E32" s="332">
        <f>SUM(E29:E31)</f>
        <v>145600</v>
      </c>
      <c r="F32" s="332">
        <f>'Phase 1'!R12</f>
        <v>95000</v>
      </c>
      <c r="G32" s="333">
        <f>SUM(E32:F32)</f>
        <v>240600</v>
      </c>
    </row>
    <row r="33" spans="2:4" x14ac:dyDescent="0.2">
      <c r="B33" s="39"/>
      <c r="C33" s="310"/>
      <c r="D33" s="310"/>
    </row>
    <row r="37" spans="2:4" x14ac:dyDescent="0.2">
      <c r="D37" s="79" t="s">
        <v>261</v>
      </c>
    </row>
  </sheetData>
  <mergeCells count="4">
    <mergeCell ref="B26:G26"/>
    <mergeCell ref="D27:F27"/>
    <mergeCell ref="B18:C18"/>
    <mergeCell ref="B5:C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C9E5-9E39-F740-AB1C-863C415FDC23}">
  <dimension ref="A2:I31"/>
  <sheetViews>
    <sheetView workbookViewId="0">
      <selection activeCell="I4" sqref="I4"/>
    </sheetView>
  </sheetViews>
  <sheetFormatPr baseColWidth="10" defaultRowHeight="14" x14ac:dyDescent="0.2"/>
  <cols>
    <col min="1" max="1" width="57" style="40" customWidth="1"/>
    <col min="2" max="2" width="21" style="40" bestFit="1" customWidth="1"/>
    <col min="3" max="3" width="23.33203125" style="40" bestFit="1" customWidth="1"/>
    <col min="4" max="4" width="19.5" style="40" bestFit="1" customWidth="1"/>
    <col min="5" max="5" width="20.83203125" style="40" bestFit="1" customWidth="1"/>
    <col min="6" max="6" width="21.6640625" style="40" bestFit="1" customWidth="1"/>
    <col min="7" max="7" width="27.5" style="40" bestFit="1" customWidth="1"/>
    <col min="8" max="8" width="20.83203125" style="40" bestFit="1" customWidth="1"/>
    <col min="9" max="9" width="18.1640625" style="40" bestFit="1" customWidth="1"/>
    <col min="10" max="16384" width="10.83203125" style="40"/>
  </cols>
  <sheetData>
    <row r="2" spans="1:9" x14ac:dyDescent="0.2">
      <c r="B2" s="240" t="s">
        <v>223</v>
      </c>
      <c r="C2" s="240" t="s">
        <v>224</v>
      </c>
      <c r="D2" s="240" t="s">
        <v>225</v>
      </c>
      <c r="E2" s="40" t="s">
        <v>237</v>
      </c>
      <c r="F2" s="240" t="s">
        <v>238</v>
      </c>
      <c r="G2" s="240" t="s">
        <v>239</v>
      </c>
      <c r="H2" s="240" t="s">
        <v>240</v>
      </c>
      <c r="I2" s="240" t="s">
        <v>241</v>
      </c>
    </row>
    <row r="3" spans="1:9" x14ac:dyDescent="0.2">
      <c r="A3" s="241" t="s">
        <v>228</v>
      </c>
      <c r="B3" s="242">
        <v>19</v>
      </c>
      <c r="C3" s="243">
        <f>B3/2</f>
        <v>9.5</v>
      </c>
      <c r="D3" s="242">
        <v>10</v>
      </c>
      <c r="E3" s="242">
        <f>D3*4</f>
        <v>40</v>
      </c>
      <c r="F3" s="242">
        <v>20</v>
      </c>
      <c r="G3" s="242">
        <v>40</v>
      </c>
      <c r="H3" s="242">
        <f>E3+(E3*(G3/F3))</f>
        <v>120</v>
      </c>
      <c r="I3" s="262">
        <f>H3*C3</f>
        <v>1140</v>
      </c>
    </row>
    <row r="4" spans="1:9" x14ac:dyDescent="0.2">
      <c r="A4" s="244" t="s">
        <v>226</v>
      </c>
      <c r="B4" s="245">
        <v>8</v>
      </c>
      <c r="C4" s="246">
        <f>B4/2</f>
        <v>4</v>
      </c>
      <c r="D4" s="245"/>
      <c r="E4" s="247"/>
      <c r="F4" s="247"/>
      <c r="G4" s="247"/>
      <c r="H4" s="247"/>
      <c r="I4" s="266">
        <f>H3*C4</f>
        <v>480</v>
      </c>
    </row>
    <row r="5" spans="1:9" x14ac:dyDescent="0.2">
      <c r="A5" s="248" t="s">
        <v>235</v>
      </c>
      <c r="B5" s="249">
        <v>11</v>
      </c>
      <c r="C5" s="246">
        <f>B5/2</f>
        <v>5.5</v>
      </c>
      <c r="D5" s="249"/>
      <c r="E5" s="250"/>
      <c r="F5" s="250"/>
      <c r="G5" s="250"/>
      <c r="H5" s="250"/>
      <c r="I5" s="266">
        <f>H3*C5</f>
        <v>660</v>
      </c>
    </row>
    <row r="6" spans="1:9" x14ac:dyDescent="0.2">
      <c r="A6" s="241" t="s">
        <v>229</v>
      </c>
      <c r="B6" s="242">
        <v>19</v>
      </c>
      <c r="C6" s="243">
        <f t="shared" ref="C6:C15" si="0">B6/2</f>
        <v>9.5</v>
      </c>
      <c r="D6" s="242">
        <v>10</v>
      </c>
      <c r="E6" s="242">
        <f>D6*4</f>
        <v>40</v>
      </c>
      <c r="F6" s="242">
        <v>20</v>
      </c>
      <c r="G6" s="242">
        <v>40</v>
      </c>
      <c r="H6" s="242">
        <f>E6+(E6*(G6/F6))</f>
        <v>120</v>
      </c>
      <c r="I6" s="262">
        <f>H6*C6</f>
        <v>1140</v>
      </c>
    </row>
    <row r="7" spans="1:9" x14ac:dyDescent="0.2">
      <c r="A7" s="244" t="s">
        <v>226</v>
      </c>
      <c r="B7" s="245">
        <v>8</v>
      </c>
      <c r="C7" s="246">
        <f>B7/2</f>
        <v>4</v>
      </c>
      <c r="D7" s="245"/>
      <c r="E7" s="247"/>
      <c r="F7" s="247"/>
      <c r="G7" s="247"/>
      <c r="H7" s="247"/>
      <c r="I7" s="266">
        <f>H6*C7</f>
        <v>480</v>
      </c>
    </row>
    <row r="8" spans="1:9" x14ac:dyDescent="0.2">
      <c r="A8" s="248" t="s">
        <v>235</v>
      </c>
      <c r="B8" s="249">
        <v>11</v>
      </c>
      <c r="C8" s="246">
        <f>B8/2</f>
        <v>5.5</v>
      </c>
      <c r="D8" s="249"/>
      <c r="E8" s="250"/>
      <c r="F8" s="250"/>
      <c r="G8" s="250"/>
      <c r="H8" s="250"/>
      <c r="I8" s="266">
        <f>H6*C8</f>
        <v>660</v>
      </c>
    </row>
    <row r="9" spans="1:9" x14ac:dyDescent="0.2">
      <c r="A9" s="241" t="s">
        <v>230</v>
      </c>
      <c r="B9" s="242">
        <v>19</v>
      </c>
      <c r="C9" s="243">
        <f t="shared" si="0"/>
        <v>9.5</v>
      </c>
      <c r="D9" s="242">
        <v>10</v>
      </c>
      <c r="E9" s="242">
        <f>D9*4</f>
        <v>40</v>
      </c>
      <c r="F9" s="242">
        <v>20</v>
      </c>
      <c r="G9" s="242">
        <v>40</v>
      </c>
      <c r="H9" s="242">
        <f>E9+(E9*(G9/F9))</f>
        <v>120</v>
      </c>
      <c r="I9" s="262">
        <f>H9*C9</f>
        <v>1140</v>
      </c>
    </row>
    <row r="10" spans="1:9" x14ac:dyDescent="0.2">
      <c r="A10" s="244" t="s">
        <v>226</v>
      </c>
      <c r="B10" s="245">
        <v>8</v>
      </c>
      <c r="C10" s="246">
        <f>B10/2</f>
        <v>4</v>
      </c>
      <c r="D10" s="245"/>
      <c r="E10" s="247"/>
      <c r="F10" s="247"/>
      <c r="G10" s="247"/>
      <c r="H10" s="247"/>
      <c r="I10" s="266">
        <f>H9*C10</f>
        <v>480</v>
      </c>
    </row>
    <row r="11" spans="1:9" x14ac:dyDescent="0.2">
      <c r="A11" s="248" t="s">
        <v>235</v>
      </c>
      <c r="B11" s="249">
        <v>11</v>
      </c>
      <c r="C11" s="246">
        <f>B11/2</f>
        <v>5.5</v>
      </c>
      <c r="D11" s="249"/>
      <c r="E11" s="250"/>
      <c r="F11" s="250"/>
      <c r="G11" s="250"/>
      <c r="H11" s="250"/>
      <c r="I11" s="266">
        <f>H9*C11</f>
        <v>660</v>
      </c>
    </row>
    <row r="12" spans="1:9" x14ac:dyDescent="0.2">
      <c r="A12" s="241" t="s">
        <v>231</v>
      </c>
      <c r="B12" s="242">
        <v>19</v>
      </c>
      <c r="C12" s="243">
        <f t="shared" si="0"/>
        <v>9.5</v>
      </c>
      <c r="D12" s="242">
        <v>10</v>
      </c>
      <c r="E12" s="242">
        <f>D12*4</f>
        <v>40</v>
      </c>
      <c r="F12" s="242">
        <v>20</v>
      </c>
      <c r="G12" s="242">
        <v>40</v>
      </c>
      <c r="H12" s="242">
        <f>E12+(E12*(G12/F12))</f>
        <v>120</v>
      </c>
      <c r="I12" s="262">
        <f>H12*C12</f>
        <v>1140</v>
      </c>
    </row>
    <row r="13" spans="1:9" x14ac:dyDescent="0.2">
      <c r="A13" s="244" t="s">
        <v>226</v>
      </c>
      <c r="B13" s="245">
        <v>8</v>
      </c>
      <c r="C13" s="246">
        <f>B13/2</f>
        <v>4</v>
      </c>
      <c r="D13" s="245"/>
      <c r="E13" s="247"/>
      <c r="F13" s="247"/>
      <c r="G13" s="247"/>
      <c r="H13" s="247"/>
      <c r="I13" s="266">
        <f>H12*C13</f>
        <v>480</v>
      </c>
    </row>
    <row r="14" spans="1:9" x14ac:dyDescent="0.2">
      <c r="A14" s="248" t="s">
        <v>235</v>
      </c>
      <c r="B14" s="249">
        <v>11</v>
      </c>
      <c r="C14" s="246">
        <f>B14/2</f>
        <v>5.5</v>
      </c>
      <c r="D14" s="249"/>
      <c r="E14" s="250"/>
      <c r="F14" s="250"/>
      <c r="G14" s="250"/>
      <c r="H14" s="250"/>
      <c r="I14" s="266">
        <f>H12*C14</f>
        <v>660</v>
      </c>
    </row>
    <row r="15" spans="1:9" x14ac:dyDescent="0.2">
      <c r="A15" s="241" t="s">
        <v>232</v>
      </c>
      <c r="B15" s="242">
        <v>19</v>
      </c>
      <c r="C15" s="243">
        <f t="shared" si="0"/>
        <v>9.5</v>
      </c>
      <c r="D15" s="242">
        <v>10</v>
      </c>
      <c r="E15" s="242">
        <f>D15*4</f>
        <v>40</v>
      </c>
      <c r="F15" s="242">
        <v>20</v>
      </c>
      <c r="G15" s="242">
        <v>40</v>
      </c>
      <c r="H15" s="242">
        <f>E15+(E15*(G15/F15))</f>
        <v>120</v>
      </c>
      <c r="I15" s="262">
        <f>H15*C15</f>
        <v>1140</v>
      </c>
    </row>
    <row r="16" spans="1:9" x14ac:dyDescent="0.2">
      <c r="A16" s="244" t="s">
        <v>226</v>
      </c>
      <c r="B16" s="245">
        <v>8</v>
      </c>
      <c r="C16" s="246">
        <f>B16/2</f>
        <v>4</v>
      </c>
      <c r="D16" s="245"/>
      <c r="E16" s="247"/>
      <c r="F16" s="247"/>
      <c r="G16" s="247"/>
      <c r="H16" s="247"/>
      <c r="I16" s="266">
        <f>H15*C16</f>
        <v>480</v>
      </c>
    </row>
    <row r="17" spans="1:9" x14ac:dyDescent="0.2">
      <c r="A17" s="248" t="s">
        <v>235</v>
      </c>
      <c r="B17" s="249">
        <v>11</v>
      </c>
      <c r="C17" s="246">
        <f>B17/2</f>
        <v>5.5</v>
      </c>
      <c r="D17" s="249"/>
      <c r="E17" s="250"/>
      <c r="F17" s="250"/>
      <c r="G17" s="250"/>
      <c r="H17" s="250"/>
      <c r="I17" s="266">
        <f>H15*C17</f>
        <v>660</v>
      </c>
    </row>
    <row r="18" spans="1:9" x14ac:dyDescent="0.2">
      <c r="A18" s="251" t="s">
        <v>233</v>
      </c>
      <c r="B18" s="252">
        <v>19</v>
      </c>
      <c r="C18" s="253">
        <f t="shared" ref="C18:C23" si="1">B18/3</f>
        <v>6.333333333333333</v>
      </c>
      <c r="D18" s="252">
        <v>10</v>
      </c>
      <c r="E18" s="252">
        <f>D18*4</f>
        <v>40</v>
      </c>
      <c r="F18" s="252">
        <v>20</v>
      </c>
      <c r="G18" s="252">
        <v>40</v>
      </c>
      <c r="H18" s="252">
        <f>E18+(E18*(G18/F18))</f>
        <v>120</v>
      </c>
      <c r="I18" s="263">
        <f>H18*C18</f>
        <v>760</v>
      </c>
    </row>
    <row r="19" spans="1:9" x14ac:dyDescent="0.2">
      <c r="A19" s="254" t="s">
        <v>227</v>
      </c>
      <c r="B19" s="255">
        <v>10</v>
      </c>
      <c r="C19" s="256">
        <f t="shared" si="1"/>
        <v>3.3333333333333335</v>
      </c>
      <c r="D19" s="255"/>
      <c r="E19" s="257"/>
      <c r="F19" s="257"/>
      <c r="G19" s="257"/>
      <c r="H19" s="257"/>
      <c r="I19" s="267">
        <f>H18*C19</f>
        <v>400</v>
      </c>
    </row>
    <row r="20" spans="1:9" x14ac:dyDescent="0.2">
      <c r="A20" s="258" t="s">
        <v>236</v>
      </c>
      <c r="B20" s="259">
        <v>9</v>
      </c>
      <c r="C20" s="260">
        <f t="shared" si="1"/>
        <v>3</v>
      </c>
      <c r="D20" s="259"/>
      <c r="E20" s="261"/>
      <c r="F20" s="261"/>
      <c r="G20" s="261"/>
      <c r="H20" s="261"/>
      <c r="I20" s="268">
        <f>H18*C20</f>
        <v>360</v>
      </c>
    </row>
    <row r="21" spans="1:9" x14ac:dyDescent="0.2">
      <c r="A21" s="251" t="s">
        <v>234</v>
      </c>
      <c r="B21" s="252">
        <v>19</v>
      </c>
      <c r="C21" s="253">
        <f t="shared" si="1"/>
        <v>6.333333333333333</v>
      </c>
      <c r="D21" s="252">
        <v>10</v>
      </c>
      <c r="E21" s="252">
        <f>D21*4</f>
        <v>40</v>
      </c>
      <c r="F21" s="252">
        <v>20</v>
      </c>
      <c r="G21" s="252">
        <v>40</v>
      </c>
      <c r="H21" s="252">
        <f>E21+(E21*(G21/F21))</f>
        <v>120</v>
      </c>
      <c r="I21" s="263">
        <f>H21*C21</f>
        <v>760</v>
      </c>
    </row>
    <row r="22" spans="1:9" x14ac:dyDescent="0.2">
      <c r="A22" s="254" t="s">
        <v>227</v>
      </c>
      <c r="B22" s="255">
        <v>10</v>
      </c>
      <c r="C22" s="256">
        <f t="shared" si="1"/>
        <v>3.3333333333333335</v>
      </c>
      <c r="D22" s="257"/>
      <c r="E22" s="257"/>
      <c r="F22" s="257"/>
      <c r="G22" s="257"/>
      <c r="H22" s="257"/>
      <c r="I22" s="267">
        <f>H21*C22</f>
        <v>400</v>
      </c>
    </row>
    <row r="23" spans="1:9" x14ac:dyDescent="0.2">
      <c r="A23" s="258" t="s">
        <v>236</v>
      </c>
      <c r="B23" s="259">
        <v>9</v>
      </c>
      <c r="C23" s="260">
        <f t="shared" si="1"/>
        <v>3</v>
      </c>
      <c r="D23" s="261"/>
      <c r="E23" s="261"/>
      <c r="F23" s="261"/>
      <c r="G23" s="261"/>
      <c r="H23" s="261"/>
      <c r="I23" s="268">
        <f>H21*C23</f>
        <v>360</v>
      </c>
    </row>
    <row r="25" spans="1:9" x14ac:dyDescent="0.2">
      <c r="A25" s="240"/>
    </row>
    <row r="26" spans="1:9" x14ac:dyDescent="0.2">
      <c r="A26" s="240"/>
      <c r="B26" s="240"/>
      <c r="C26" s="240"/>
      <c r="D26" s="240"/>
    </row>
    <row r="27" spans="1:9" x14ac:dyDescent="0.2">
      <c r="A27" s="240"/>
      <c r="B27" s="240"/>
      <c r="C27" s="240"/>
      <c r="D27" s="240"/>
      <c r="E27" s="264"/>
      <c r="F27" s="240"/>
      <c r="G27" s="265"/>
    </row>
    <row r="29" spans="1:9" x14ac:dyDescent="0.2">
      <c r="A29" s="240"/>
    </row>
    <row r="30" spans="1:9" x14ac:dyDescent="0.2">
      <c r="A30" s="240"/>
      <c r="B30" s="240"/>
      <c r="C30" s="240"/>
      <c r="D30" s="240"/>
    </row>
    <row r="31" spans="1:9" x14ac:dyDescent="0.2">
      <c r="A31" s="240"/>
      <c r="B31" s="240"/>
      <c r="C31" s="240"/>
      <c r="D31" s="240"/>
      <c r="E31" s="264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6692-7D7B-3542-ADCA-529BC69CFAE0}">
  <dimension ref="A1:U40"/>
  <sheetViews>
    <sheetView workbookViewId="0">
      <selection activeCell="H3" sqref="H3:N40"/>
    </sheetView>
  </sheetViews>
  <sheetFormatPr baseColWidth="10" defaultRowHeight="16" x14ac:dyDescent="0.2"/>
  <sheetData>
    <row r="1" spans="1:21" x14ac:dyDescent="0.2">
      <c r="A1" s="370" t="s">
        <v>61</v>
      </c>
      <c r="B1" s="371"/>
      <c r="C1" s="371"/>
      <c r="D1" s="371"/>
      <c r="E1" s="371"/>
      <c r="F1" s="371"/>
      <c r="G1" s="372"/>
      <c r="H1" s="370" t="s">
        <v>62</v>
      </c>
      <c r="I1" s="371"/>
      <c r="J1" s="371"/>
      <c r="K1" s="371"/>
      <c r="L1" s="371"/>
      <c r="M1" s="371"/>
      <c r="N1" s="372"/>
      <c r="O1" s="370" t="s">
        <v>64</v>
      </c>
      <c r="P1" s="371"/>
      <c r="Q1" s="371"/>
      <c r="R1" s="371"/>
      <c r="S1" s="371"/>
      <c r="T1" s="371"/>
      <c r="U1" s="372"/>
    </row>
    <row r="2" spans="1:21" ht="17" thickBot="1" x14ac:dyDescent="0.25">
      <c r="A2" s="373"/>
      <c r="B2" s="374"/>
      <c r="C2" s="374"/>
      <c r="D2" s="374"/>
      <c r="E2" s="374"/>
      <c r="F2" s="374"/>
      <c r="G2" s="375"/>
      <c r="H2" s="373"/>
      <c r="I2" s="374"/>
      <c r="J2" s="374"/>
      <c r="K2" s="374"/>
      <c r="L2" s="374"/>
      <c r="M2" s="374"/>
      <c r="N2" s="375"/>
      <c r="O2" s="373"/>
      <c r="P2" s="374"/>
      <c r="Q2" s="374"/>
      <c r="R2" s="374"/>
      <c r="S2" s="374"/>
      <c r="T2" s="374"/>
      <c r="U2" s="375"/>
    </row>
    <row r="3" spans="1:21" x14ac:dyDescent="0.2">
      <c r="A3" s="361" t="s">
        <v>65</v>
      </c>
      <c r="B3" s="362"/>
      <c r="C3" s="362"/>
      <c r="D3" s="362"/>
      <c r="E3" s="362"/>
      <c r="F3" s="362"/>
      <c r="G3" s="363"/>
      <c r="H3" s="361" t="s">
        <v>63</v>
      </c>
      <c r="I3" s="362"/>
      <c r="J3" s="362"/>
      <c r="K3" s="362"/>
      <c r="L3" s="362"/>
      <c r="M3" s="362"/>
      <c r="N3" s="363"/>
      <c r="O3" s="361" t="s">
        <v>66</v>
      </c>
      <c r="P3" s="362"/>
      <c r="Q3" s="362"/>
      <c r="R3" s="362"/>
      <c r="S3" s="362"/>
      <c r="T3" s="362"/>
      <c r="U3" s="363"/>
    </row>
    <row r="4" spans="1:21" x14ac:dyDescent="0.2">
      <c r="A4" s="364"/>
      <c r="B4" s="365"/>
      <c r="C4" s="365"/>
      <c r="D4" s="365"/>
      <c r="E4" s="365"/>
      <c r="F4" s="365"/>
      <c r="G4" s="366"/>
      <c r="H4" s="364"/>
      <c r="I4" s="365"/>
      <c r="J4" s="365"/>
      <c r="K4" s="365"/>
      <c r="L4" s="365"/>
      <c r="M4" s="365"/>
      <c r="N4" s="366"/>
      <c r="O4" s="364"/>
      <c r="P4" s="365"/>
      <c r="Q4" s="365"/>
      <c r="R4" s="365"/>
      <c r="S4" s="365"/>
      <c r="T4" s="365"/>
      <c r="U4" s="366"/>
    </row>
    <row r="5" spans="1:21" x14ac:dyDescent="0.2">
      <c r="A5" s="364"/>
      <c r="B5" s="365"/>
      <c r="C5" s="365"/>
      <c r="D5" s="365"/>
      <c r="E5" s="365"/>
      <c r="F5" s="365"/>
      <c r="G5" s="366"/>
      <c r="H5" s="364"/>
      <c r="I5" s="365"/>
      <c r="J5" s="365"/>
      <c r="K5" s="365"/>
      <c r="L5" s="365"/>
      <c r="M5" s="365"/>
      <c r="N5" s="366"/>
      <c r="O5" s="364"/>
      <c r="P5" s="365"/>
      <c r="Q5" s="365"/>
      <c r="R5" s="365"/>
      <c r="S5" s="365"/>
      <c r="T5" s="365"/>
      <c r="U5" s="366"/>
    </row>
    <row r="6" spans="1:21" x14ac:dyDescent="0.2">
      <c r="A6" s="364"/>
      <c r="B6" s="365"/>
      <c r="C6" s="365"/>
      <c r="D6" s="365"/>
      <c r="E6" s="365"/>
      <c r="F6" s="365"/>
      <c r="G6" s="366"/>
      <c r="H6" s="364"/>
      <c r="I6" s="365"/>
      <c r="J6" s="365"/>
      <c r="K6" s="365"/>
      <c r="L6" s="365"/>
      <c r="M6" s="365"/>
      <c r="N6" s="366"/>
      <c r="O6" s="364"/>
      <c r="P6" s="365"/>
      <c r="Q6" s="365"/>
      <c r="R6" s="365"/>
      <c r="S6" s="365"/>
      <c r="T6" s="365"/>
      <c r="U6" s="366"/>
    </row>
    <row r="7" spans="1:21" x14ac:dyDescent="0.2">
      <c r="A7" s="364"/>
      <c r="B7" s="365"/>
      <c r="C7" s="365"/>
      <c r="D7" s="365"/>
      <c r="E7" s="365"/>
      <c r="F7" s="365"/>
      <c r="G7" s="366"/>
      <c r="H7" s="364"/>
      <c r="I7" s="365"/>
      <c r="J7" s="365"/>
      <c r="K7" s="365"/>
      <c r="L7" s="365"/>
      <c r="M7" s="365"/>
      <c r="N7" s="366"/>
      <c r="O7" s="364"/>
      <c r="P7" s="365"/>
      <c r="Q7" s="365"/>
      <c r="R7" s="365"/>
      <c r="S7" s="365"/>
      <c r="T7" s="365"/>
      <c r="U7" s="366"/>
    </row>
    <row r="8" spans="1:21" x14ac:dyDescent="0.2">
      <c r="A8" s="364"/>
      <c r="B8" s="365"/>
      <c r="C8" s="365"/>
      <c r="D8" s="365"/>
      <c r="E8" s="365"/>
      <c r="F8" s="365"/>
      <c r="G8" s="366"/>
      <c r="H8" s="364"/>
      <c r="I8" s="365"/>
      <c r="J8" s="365"/>
      <c r="K8" s="365"/>
      <c r="L8" s="365"/>
      <c r="M8" s="365"/>
      <c r="N8" s="366"/>
      <c r="O8" s="364"/>
      <c r="P8" s="365"/>
      <c r="Q8" s="365"/>
      <c r="R8" s="365"/>
      <c r="S8" s="365"/>
      <c r="T8" s="365"/>
      <c r="U8" s="366"/>
    </row>
    <row r="9" spans="1:21" x14ac:dyDescent="0.2">
      <c r="A9" s="364"/>
      <c r="B9" s="365"/>
      <c r="C9" s="365"/>
      <c r="D9" s="365"/>
      <c r="E9" s="365"/>
      <c r="F9" s="365"/>
      <c r="G9" s="366"/>
      <c r="H9" s="364"/>
      <c r="I9" s="365"/>
      <c r="J9" s="365"/>
      <c r="K9" s="365"/>
      <c r="L9" s="365"/>
      <c r="M9" s="365"/>
      <c r="N9" s="366"/>
      <c r="O9" s="364"/>
      <c r="P9" s="365"/>
      <c r="Q9" s="365"/>
      <c r="R9" s="365"/>
      <c r="S9" s="365"/>
      <c r="T9" s="365"/>
      <c r="U9" s="366"/>
    </row>
    <row r="10" spans="1:21" x14ac:dyDescent="0.2">
      <c r="A10" s="364"/>
      <c r="B10" s="365"/>
      <c r="C10" s="365"/>
      <c r="D10" s="365"/>
      <c r="E10" s="365"/>
      <c r="F10" s="365"/>
      <c r="G10" s="366"/>
      <c r="H10" s="364"/>
      <c r="I10" s="365"/>
      <c r="J10" s="365"/>
      <c r="K10" s="365"/>
      <c r="L10" s="365"/>
      <c r="M10" s="365"/>
      <c r="N10" s="366"/>
      <c r="O10" s="364"/>
      <c r="P10" s="365"/>
      <c r="Q10" s="365"/>
      <c r="R10" s="365"/>
      <c r="S10" s="365"/>
      <c r="T10" s="365"/>
      <c r="U10" s="366"/>
    </row>
    <row r="11" spans="1:21" x14ac:dyDescent="0.2">
      <c r="A11" s="364"/>
      <c r="B11" s="365"/>
      <c r="C11" s="365"/>
      <c r="D11" s="365"/>
      <c r="E11" s="365"/>
      <c r="F11" s="365"/>
      <c r="G11" s="366"/>
      <c r="H11" s="364"/>
      <c r="I11" s="365"/>
      <c r="J11" s="365"/>
      <c r="K11" s="365"/>
      <c r="L11" s="365"/>
      <c r="M11" s="365"/>
      <c r="N11" s="366"/>
      <c r="O11" s="364"/>
      <c r="P11" s="365"/>
      <c r="Q11" s="365"/>
      <c r="R11" s="365"/>
      <c r="S11" s="365"/>
      <c r="T11" s="365"/>
      <c r="U11" s="366"/>
    </row>
    <row r="12" spans="1:21" x14ac:dyDescent="0.2">
      <c r="A12" s="364"/>
      <c r="B12" s="365"/>
      <c r="C12" s="365"/>
      <c r="D12" s="365"/>
      <c r="E12" s="365"/>
      <c r="F12" s="365"/>
      <c r="G12" s="366"/>
      <c r="H12" s="364"/>
      <c r="I12" s="365"/>
      <c r="J12" s="365"/>
      <c r="K12" s="365"/>
      <c r="L12" s="365"/>
      <c r="M12" s="365"/>
      <c r="N12" s="366"/>
      <c r="O12" s="364"/>
      <c r="P12" s="365"/>
      <c r="Q12" s="365"/>
      <c r="R12" s="365"/>
      <c r="S12" s="365"/>
      <c r="T12" s="365"/>
      <c r="U12" s="366"/>
    </row>
    <row r="13" spans="1:21" x14ac:dyDescent="0.2">
      <c r="A13" s="364"/>
      <c r="B13" s="365"/>
      <c r="C13" s="365"/>
      <c r="D13" s="365"/>
      <c r="E13" s="365"/>
      <c r="F13" s="365"/>
      <c r="G13" s="366"/>
      <c r="H13" s="364"/>
      <c r="I13" s="365"/>
      <c r="J13" s="365"/>
      <c r="K13" s="365"/>
      <c r="L13" s="365"/>
      <c r="M13" s="365"/>
      <c r="N13" s="366"/>
      <c r="O13" s="364"/>
      <c r="P13" s="365"/>
      <c r="Q13" s="365"/>
      <c r="R13" s="365"/>
      <c r="S13" s="365"/>
      <c r="T13" s="365"/>
      <c r="U13" s="366"/>
    </row>
    <row r="14" spans="1:21" x14ac:dyDescent="0.2">
      <c r="A14" s="364"/>
      <c r="B14" s="365"/>
      <c r="C14" s="365"/>
      <c r="D14" s="365"/>
      <c r="E14" s="365"/>
      <c r="F14" s="365"/>
      <c r="G14" s="366"/>
      <c r="H14" s="364"/>
      <c r="I14" s="365"/>
      <c r="J14" s="365"/>
      <c r="K14" s="365"/>
      <c r="L14" s="365"/>
      <c r="M14" s="365"/>
      <c r="N14" s="366"/>
      <c r="O14" s="364"/>
      <c r="P14" s="365"/>
      <c r="Q14" s="365"/>
      <c r="R14" s="365"/>
      <c r="S14" s="365"/>
      <c r="T14" s="365"/>
      <c r="U14" s="366"/>
    </row>
    <row r="15" spans="1:21" x14ac:dyDescent="0.2">
      <c r="A15" s="364"/>
      <c r="B15" s="365"/>
      <c r="C15" s="365"/>
      <c r="D15" s="365"/>
      <c r="E15" s="365"/>
      <c r="F15" s="365"/>
      <c r="G15" s="366"/>
      <c r="H15" s="364"/>
      <c r="I15" s="365"/>
      <c r="J15" s="365"/>
      <c r="K15" s="365"/>
      <c r="L15" s="365"/>
      <c r="M15" s="365"/>
      <c r="N15" s="366"/>
      <c r="O15" s="364"/>
      <c r="P15" s="365"/>
      <c r="Q15" s="365"/>
      <c r="R15" s="365"/>
      <c r="S15" s="365"/>
      <c r="T15" s="365"/>
      <c r="U15" s="366"/>
    </row>
    <row r="16" spans="1:21" x14ac:dyDescent="0.2">
      <c r="A16" s="364"/>
      <c r="B16" s="365"/>
      <c r="C16" s="365"/>
      <c r="D16" s="365"/>
      <c r="E16" s="365"/>
      <c r="F16" s="365"/>
      <c r="G16" s="366"/>
      <c r="H16" s="364"/>
      <c r="I16" s="365"/>
      <c r="J16" s="365"/>
      <c r="K16" s="365"/>
      <c r="L16" s="365"/>
      <c r="M16" s="365"/>
      <c r="N16" s="366"/>
      <c r="O16" s="364"/>
      <c r="P16" s="365"/>
      <c r="Q16" s="365"/>
      <c r="R16" s="365"/>
      <c r="S16" s="365"/>
      <c r="T16" s="365"/>
      <c r="U16" s="366"/>
    </row>
    <row r="17" spans="1:21" x14ac:dyDescent="0.2">
      <c r="A17" s="364"/>
      <c r="B17" s="365"/>
      <c r="C17" s="365"/>
      <c r="D17" s="365"/>
      <c r="E17" s="365"/>
      <c r="F17" s="365"/>
      <c r="G17" s="366"/>
      <c r="H17" s="364"/>
      <c r="I17" s="365"/>
      <c r="J17" s="365"/>
      <c r="K17" s="365"/>
      <c r="L17" s="365"/>
      <c r="M17" s="365"/>
      <c r="N17" s="366"/>
      <c r="O17" s="364"/>
      <c r="P17" s="365"/>
      <c r="Q17" s="365"/>
      <c r="R17" s="365"/>
      <c r="S17" s="365"/>
      <c r="T17" s="365"/>
      <c r="U17" s="366"/>
    </row>
    <row r="18" spans="1:21" x14ac:dyDescent="0.2">
      <c r="A18" s="364"/>
      <c r="B18" s="365"/>
      <c r="C18" s="365"/>
      <c r="D18" s="365"/>
      <c r="E18" s="365"/>
      <c r="F18" s="365"/>
      <c r="G18" s="366"/>
      <c r="H18" s="364"/>
      <c r="I18" s="365"/>
      <c r="J18" s="365"/>
      <c r="K18" s="365"/>
      <c r="L18" s="365"/>
      <c r="M18" s="365"/>
      <c r="N18" s="366"/>
      <c r="O18" s="364"/>
      <c r="P18" s="365"/>
      <c r="Q18" s="365"/>
      <c r="R18" s="365"/>
      <c r="S18" s="365"/>
      <c r="T18" s="365"/>
      <c r="U18" s="366"/>
    </row>
    <row r="19" spans="1:21" x14ac:dyDescent="0.2">
      <c r="A19" s="364"/>
      <c r="B19" s="365"/>
      <c r="C19" s="365"/>
      <c r="D19" s="365"/>
      <c r="E19" s="365"/>
      <c r="F19" s="365"/>
      <c r="G19" s="366"/>
      <c r="H19" s="364"/>
      <c r="I19" s="365"/>
      <c r="J19" s="365"/>
      <c r="K19" s="365"/>
      <c r="L19" s="365"/>
      <c r="M19" s="365"/>
      <c r="N19" s="366"/>
      <c r="O19" s="364"/>
      <c r="P19" s="365"/>
      <c r="Q19" s="365"/>
      <c r="R19" s="365"/>
      <c r="S19" s="365"/>
      <c r="T19" s="365"/>
      <c r="U19" s="366"/>
    </row>
    <row r="20" spans="1:21" x14ac:dyDescent="0.2">
      <c r="A20" s="364"/>
      <c r="B20" s="365"/>
      <c r="C20" s="365"/>
      <c r="D20" s="365"/>
      <c r="E20" s="365"/>
      <c r="F20" s="365"/>
      <c r="G20" s="366"/>
      <c r="H20" s="364"/>
      <c r="I20" s="365"/>
      <c r="J20" s="365"/>
      <c r="K20" s="365"/>
      <c r="L20" s="365"/>
      <c r="M20" s="365"/>
      <c r="N20" s="366"/>
      <c r="O20" s="364"/>
      <c r="P20" s="365"/>
      <c r="Q20" s="365"/>
      <c r="R20" s="365"/>
      <c r="S20" s="365"/>
      <c r="T20" s="365"/>
      <c r="U20" s="366"/>
    </row>
    <row r="21" spans="1:21" x14ac:dyDescent="0.2">
      <c r="A21" s="364"/>
      <c r="B21" s="365"/>
      <c r="C21" s="365"/>
      <c r="D21" s="365"/>
      <c r="E21" s="365"/>
      <c r="F21" s="365"/>
      <c r="G21" s="366"/>
      <c r="H21" s="364"/>
      <c r="I21" s="365"/>
      <c r="J21" s="365"/>
      <c r="K21" s="365"/>
      <c r="L21" s="365"/>
      <c r="M21" s="365"/>
      <c r="N21" s="366"/>
      <c r="O21" s="364"/>
      <c r="P21" s="365"/>
      <c r="Q21" s="365"/>
      <c r="R21" s="365"/>
      <c r="S21" s="365"/>
      <c r="T21" s="365"/>
      <c r="U21" s="366"/>
    </row>
    <row r="22" spans="1:21" x14ac:dyDescent="0.2">
      <c r="A22" s="364"/>
      <c r="B22" s="365"/>
      <c r="C22" s="365"/>
      <c r="D22" s="365"/>
      <c r="E22" s="365"/>
      <c r="F22" s="365"/>
      <c r="G22" s="366"/>
      <c r="H22" s="364"/>
      <c r="I22" s="365"/>
      <c r="J22" s="365"/>
      <c r="K22" s="365"/>
      <c r="L22" s="365"/>
      <c r="M22" s="365"/>
      <c r="N22" s="366"/>
      <c r="O22" s="364"/>
      <c r="P22" s="365"/>
      <c r="Q22" s="365"/>
      <c r="R22" s="365"/>
      <c r="S22" s="365"/>
      <c r="T22" s="365"/>
      <c r="U22" s="366"/>
    </row>
    <row r="23" spans="1:21" x14ac:dyDescent="0.2">
      <c r="A23" s="364"/>
      <c r="B23" s="365"/>
      <c r="C23" s="365"/>
      <c r="D23" s="365"/>
      <c r="E23" s="365"/>
      <c r="F23" s="365"/>
      <c r="G23" s="366"/>
      <c r="H23" s="364"/>
      <c r="I23" s="365"/>
      <c r="J23" s="365"/>
      <c r="K23" s="365"/>
      <c r="L23" s="365"/>
      <c r="M23" s="365"/>
      <c r="N23" s="366"/>
      <c r="O23" s="364"/>
      <c r="P23" s="365"/>
      <c r="Q23" s="365"/>
      <c r="R23" s="365"/>
      <c r="S23" s="365"/>
      <c r="T23" s="365"/>
      <c r="U23" s="366"/>
    </row>
    <row r="24" spans="1:21" x14ac:dyDescent="0.2">
      <c r="A24" s="364"/>
      <c r="B24" s="365"/>
      <c r="C24" s="365"/>
      <c r="D24" s="365"/>
      <c r="E24" s="365"/>
      <c r="F24" s="365"/>
      <c r="G24" s="366"/>
      <c r="H24" s="364"/>
      <c r="I24" s="365"/>
      <c r="J24" s="365"/>
      <c r="K24" s="365"/>
      <c r="L24" s="365"/>
      <c r="M24" s="365"/>
      <c r="N24" s="366"/>
      <c r="O24" s="364"/>
      <c r="P24" s="365"/>
      <c r="Q24" s="365"/>
      <c r="R24" s="365"/>
      <c r="S24" s="365"/>
      <c r="T24" s="365"/>
      <c r="U24" s="366"/>
    </row>
    <row r="25" spans="1:21" x14ac:dyDescent="0.2">
      <c r="A25" s="364"/>
      <c r="B25" s="365"/>
      <c r="C25" s="365"/>
      <c r="D25" s="365"/>
      <c r="E25" s="365"/>
      <c r="F25" s="365"/>
      <c r="G25" s="366"/>
      <c r="H25" s="364"/>
      <c r="I25" s="365"/>
      <c r="J25" s="365"/>
      <c r="K25" s="365"/>
      <c r="L25" s="365"/>
      <c r="M25" s="365"/>
      <c r="N25" s="366"/>
      <c r="O25" s="364"/>
      <c r="P25" s="365"/>
      <c r="Q25" s="365"/>
      <c r="R25" s="365"/>
      <c r="S25" s="365"/>
      <c r="T25" s="365"/>
      <c r="U25" s="366"/>
    </row>
    <row r="26" spans="1:21" x14ac:dyDescent="0.2">
      <c r="A26" s="364"/>
      <c r="B26" s="365"/>
      <c r="C26" s="365"/>
      <c r="D26" s="365"/>
      <c r="E26" s="365"/>
      <c r="F26" s="365"/>
      <c r="G26" s="366"/>
      <c r="H26" s="364"/>
      <c r="I26" s="365"/>
      <c r="J26" s="365"/>
      <c r="K26" s="365"/>
      <c r="L26" s="365"/>
      <c r="M26" s="365"/>
      <c r="N26" s="366"/>
      <c r="O26" s="364"/>
      <c r="P26" s="365"/>
      <c r="Q26" s="365"/>
      <c r="R26" s="365"/>
      <c r="S26" s="365"/>
      <c r="T26" s="365"/>
      <c r="U26" s="366"/>
    </row>
    <row r="27" spans="1:21" x14ac:dyDescent="0.2">
      <c r="A27" s="364"/>
      <c r="B27" s="365"/>
      <c r="C27" s="365"/>
      <c r="D27" s="365"/>
      <c r="E27" s="365"/>
      <c r="F27" s="365"/>
      <c r="G27" s="366"/>
      <c r="H27" s="364"/>
      <c r="I27" s="365"/>
      <c r="J27" s="365"/>
      <c r="K27" s="365"/>
      <c r="L27" s="365"/>
      <c r="M27" s="365"/>
      <c r="N27" s="366"/>
      <c r="O27" s="364"/>
      <c r="P27" s="365"/>
      <c r="Q27" s="365"/>
      <c r="R27" s="365"/>
      <c r="S27" s="365"/>
      <c r="T27" s="365"/>
      <c r="U27" s="366"/>
    </row>
    <row r="28" spans="1:21" x14ac:dyDescent="0.2">
      <c r="A28" s="364"/>
      <c r="B28" s="365"/>
      <c r="C28" s="365"/>
      <c r="D28" s="365"/>
      <c r="E28" s="365"/>
      <c r="F28" s="365"/>
      <c r="G28" s="366"/>
      <c r="H28" s="364"/>
      <c r="I28" s="365"/>
      <c r="J28" s="365"/>
      <c r="K28" s="365"/>
      <c r="L28" s="365"/>
      <c r="M28" s="365"/>
      <c r="N28" s="366"/>
      <c r="O28" s="364"/>
      <c r="P28" s="365"/>
      <c r="Q28" s="365"/>
      <c r="R28" s="365"/>
      <c r="S28" s="365"/>
      <c r="T28" s="365"/>
      <c r="U28" s="366"/>
    </row>
    <row r="29" spans="1:21" x14ac:dyDescent="0.2">
      <c r="A29" s="364"/>
      <c r="B29" s="365"/>
      <c r="C29" s="365"/>
      <c r="D29" s="365"/>
      <c r="E29" s="365"/>
      <c r="F29" s="365"/>
      <c r="G29" s="366"/>
      <c r="H29" s="364"/>
      <c r="I29" s="365"/>
      <c r="J29" s="365"/>
      <c r="K29" s="365"/>
      <c r="L29" s="365"/>
      <c r="M29" s="365"/>
      <c r="N29" s="366"/>
      <c r="O29" s="364"/>
      <c r="P29" s="365"/>
      <c r="Q29" s="365"/>
      <c r="R29" s="365"/>
      <c r="S29" s="365"/>
      <c r="T29" s="365"/>
      <c r="U29" s="366"/>
    </row>
    <row r="30" spans="1:21" x14ac:dyDescent="0.2">
      <c r="A30" s="364"/>
      <c r="B30" s="365"/>
      <c r="C30" s="365"/>
      <c r="D30" s="365"/>
      <c r="E30" s="365"/>
      <c r="F30" s="365"/>
      <c r="G30" s="366"/>
      <c r="H30" s="364"/>
      <c r="I30" s="365"/>
      <c r="J30" s="365"/>
      <c r="K30" s="365"/>
      <c r="L30" s="365"/>
      <c r="M30" s="365"/>
      <c r="N30" s="366"/>
      <c r="O30" s="364"/>
      <c r="P30" s="365"/>
      <c r="Q30" s="365"/>
      <c r="R30" s="365"/>
      <c r="S30" s="365"/>
      <c r="T30" s="365"/>
      <c r="U30" s="366"/>
    </row>
    <row r="31" spans="1:21" x14ac:dyDescent="0.2">
      <c r="A31" s="364"/>
      <c r="B31" s="365"/>
      <c r="C31" s="365"/>
      <c r="D31" s="365"/>
      <c r="E31" s="365"/>
      <c r="F31" s="365"/>
      <c r="G31" s="366"/>
      <c r="H31" s="364"/>
      <c r="I31" s="365"/>
      <c r="J31" s="365"/>
      <c r="K31" s="365"/>
      <c r="L31" s="365"/>
      <c r="M31" s="365"/>
      <c r="N31" s="366"/>
      <c r="O31" s="364"/>
      <c r="P31" s="365"/>
      <c r="Q31" s="365"/>
      <c r="R31" s="365"/>
      <c r="S31" s="365"/>
      <c r="T31" s="365"/>
      <c r="U31" s="366"/>
    </row>
    <row r="32" spans="1:21" x14ac:dyDescent="0.2">
      <c r="A32" s="364"/>
      <c r="B32" s="365"/>
      <c r="C32" s="365"/>
      <c r="D32" s="365"/>
      <c r="E32" s="365"/>
      <c r="F32" s="365"/>
      <c r="G32" s="366"/>
      <c r="H32" s="364"/>
      <c r="I32" s="365"/>
      <c r="J32" s="365"/>
      <c r="K32" s="365"/>
      <c r="L32" s="365"/>
      <c r="M32" s="365"/>
      <c r="N32" s="366"/>
      <c r="O32" s="364"/>
      <c r="P32" s="365"/>
      <c r="Q32" s="365"/>
      <c r="R32" s="365"/>
      <c r="S32" s="365"/>
      <c r="T32" s="365"/>
      <c r="U32" s="366"/>
    </row>
    <row r="33" spans="1:21" x14ac:dyDescent="0.2">
      <c r="A33" s="364"/>
      <c r="B33" s="365"/>
      <c r="C33" s="365"/>
      <c r="D33" s="365"/>
      <c r="E33" s="365"/>
      <c r="F33" s="365"/>
      <c r="G33" s="366"/>
      <c r="H33" s="364"/>
      <c r="I33" s="365"/>
      <c r="J33" s="365"/>
      <c r="K33" s="365"/>
      <c r="L33" s="365"/>
      <c r="M33" s="365"/>
      <c r="N33" s="366"/>
      <c r="O33" s="364"/>
      <c r="P33" s="365"/>
      <c r="Q33" s="365"/>
      <c r="R33" s="365"/>
      <c r="S33" s="365"/>
      <c r="T33" s="365"/>
      <c r="U33" s="366"/>
    </row>
    <row r="34" spans="1:21" x14ac:dyDescent="0.2">
      <c r="A34" s="364"/>
      <c r="B34" s="365"/>
      <c r="C34" s="365"/>
      <c r="D34" s="365"/>
      <c r="E34" s="365"/>
      <c r="F34" s="365"/>
      <c r="G34" s="366"/>
      <c r="H34" s="364"/>
      <c r="I34" s="365"/>
      <c r="J34" s="365"/>
      <c r="K34" s="365"/>
      <c r="L34" s="365"/>
      <c r="M34" s="365"/>
      <c r="N34" s="366"/>
      <c r="O34" s="364"/>
      <c r="P34" s="365"/>
      <c r="Q34" s="365"/>
      <c r="R34" s="365"/>
      <c r="S34" s="365"/>
      <c r="T34" s="365"/>
      <c r="U34" s="366"/>
    </row>
    <row r="35" spans="1:21" x14ac:dyDescent="0.2">
      <c r="A35" s="364"/>
      <c r="B35" s="365"/>
      <c r="C35" s="365"/>
      <c r="D35" s="365"/>
      <c r="E35" s="365"/>
      <c r="F35" s="365"/>
      <c r="G35" s="366"/>
      <c r="H35" s="364"/>
      <c r="I35" s="365"/>
      <c r="J35" s="365"/>
      <c r="K35" s="365"/>
      <c r="L35" s="365"/>
      <c r="M35" s="365"/>
      <c r="N35" s="366"/>
      <c r="O35" s="364"/>
      <c r="P35" s="365"/>
      <c r="Q35" s="365"/>
      <c r="R35" s="365"/>
      <c r="S35" s="365"/>
      <c r="T35" s="365"/>
      <c r="U35" s="366"/>
    </row>
    <row r="36" spans="1:21" x14ac:dyDescent="0.2">
      <c r="A36" s="364"/>
      <c r="B36" s="365"/>
      <c r="C36" s="365"/>
      <c r="D36" s="365"/>
      <c r="E36" s="365"/>
      <c r="F36" s="365"/>
      <c r="G36" s="366"/>
      <c r="H36" s="364"/>
      <c r="I36" s="365"/>
      <c r="J36" s="365"/>
      <c r="K36" s="365"/>
      <c r="L36" s="365"/>
      <c r="M36" s="365"/>
      <c r="N36" s="366"/>
      <c r="O36" s="364"/>
      <c r="P36" s="365"/>
      <c r="Q36" s="365"/>
      <c r="R36" s="365"/>
      <c r="S36" s="365"/>
      <c r="T36" s="365"/>
      <c r="U36" s="366"/>
    </row>
    <row r="37" spans="1:21" x14ac:dyDescent="0.2">
      <c r="A37" s="364"/>
      <c r="B37" s="365"/>
      <c r="C37" s="365"/>
      <c r="D37" s="365"/>
      <c r="E37" s="365"/>
      <c r="F37" s="365"/>
      <c r="G37" s="366"/>
      <c r="H37" s="364"/>
      <c r="I37" s="365"/>
      <c r="J37" s="365"/>
      <c r="K37" s="365"/>
      <c r="L37" s="365"/>
      <c r="M37" s="365"/>
      <c r="N37" s="366"/>
      <c r="O37" s="364"/>
      <c r="P37" s="365"/>
      <c r="Q37" s="365"/>
      <c r="R37" s="365"/>
      <c r="S37" s="365"/>
      <c r="T37" s="365"/>
      <c r="U37" s="366"/>
    </row>
    <row r="38" spans="1:21" x14ac:dyDescent="0.2">
      <c r="A38" s="364"/>
      <c r="B38" s="365"/>
      <c r="C38" s="365"/>
      <c r="D38" s="365"/>
      <c r="E38" s="365"/>
      <c r="F38" s="365"/>
      <c r="G38" s="366"/>
      <c r="H38" s="364"/>
      <c r="I38" s="365"/>
      <c r="J38" s="365"/>
      <c r="K38" s="365"/>
      <c r="L38" s="365"/>
      <c r="M38" s="365"/>
      <c r="N38" s="366"/>
      <c r="O38" s="364"/>
      <c r="P38" s="365"/>
      <c r="Q38" s="365"/>
      <c r="R38" s="365"/>
      <c r="S38" s="365"/>
      <c r="T38" s="365"/>
      <c r="U38" s="366"/>
    </row>
    <row r="39" spans="1:21" x14ac:dyDescent="0.2">
      <c r="A39" s="364"/>
      <c r="B39" s="365"/>
      <c r="C39" s="365"/>
      <c r="D39" s="365"/>
      <c r="E39" s="365"/>
      <c r="F39" s="365"/>
      <c r="G39" s="366"/>
      <c r="H39" s="364"/>
      <c r="I39" s="365"/>
      <c r="J39" s="365"/>
      <c r="K39" s="365"/>
      <c r="L39" s="365"/>
      <c r="M39" s="365"/>
      <c r="N39" s="366"/>
      <c r="O39" s="364"/>
      <c r="P39" s="365"/>
      <c r="Q39" s="365"/>
      <c r="R39" s="365"/>
      <c r="S39" s="365"/>
      <c r="T39" s="365"/>
      <c r="U39" s="366"/>
    </row>
    <row r="40" spans="1:21" ht="17" thickBot="1" x14ac:dyDescent="0.25">
      <c r="A40" s="367"/>
      <c r="B40" s="368"/>
      <c r="C40" s="368"/>
      <c r="D40" s="368"/>
      <c r="E40" s="368"/>
      <c r="F40" s="368"/>
      <c r="G40" s="369"/>
      <c r="H40" s="367"/>
      <c r="I40" s="368"/>
      <c r="J40" s="368"/>
      <c r="K40" s="368"/>
      <c r="L40" s="368"/>
      <c r="M40" s="368"/>
      <c r="N40" s="369"/>
      <c r="O40" s="367"/>
      <c r="P40" s="368"/>
      <c r="Q40" s="368"/>
      <c r="R40" s="368"/>
      <c r="S40" s="368"/>
      <c r="T40" s="368"/>
      <c r="U40" s="369"/>
    </row>
  </sheetData>
  <mergeCells count="6">
    <mergeCell ref="A3:G40"/>
    <mergeCell ref="A1:G2"/>
    <mergeCell ref="H3:N40"/>
    <mergeCell ref="H1:N2"/>
    <mergeCell ref="O3:U40"/>
    <mergeCell ref="O1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3A0B-BC12-DA40-B172-8530DAC94EAB}">
  <dimension ref="A1:N108"/>
  <sheetViews>
    <sheetView zoomScale="80" zoomScaleNormal="80" workbookViewId="0">
      <selection activeCell="I101" sqref="I101"/>
    </sheetView>
  </sheetViews>
  <sheetFormatPr baseColWidth="10" defaultRowHeight="16" outlineLevelRow="1" x14ac:dyDescent="0.2"/>
  <cols>
    <col min="1" max="1" width="21.6640625" bestFit="1" customWidth="1"/>
    <col min="2" max="2" width="13.1640625" customWidth="1"/>
    <col min="4" max="4" width="16.83203125" bestFit="1" customWidth="1"/>
    <col min="5" max="5" width="14.83203125" bestFit="1" customWidth="1"/>
    <col min="6" max="6" width="14" bestFit="1" customWidth="1"/>
    <col min="7" max="7" width="30.1640625" customWidth="1"/>
    <col min="8" max="8" width="27.83203125" bestFit="1" customWidth="1"/>
    <col min="9" max="9" width="30.83203125" bestFit="1" customWidth="1"/>
    <col min="13" max="13" width="13.1640625" bestFit="1" customWidth="1"/>
    <col min="14" max="14" width="12" bestFit="1" customWidth="1"/>
  </cols>
  <sheetData>
    <row r="1" spans="1:7" x14ac:dyDescent="0.2">
      <c r="A1" s="377" t="s">
        <v>0</v>
      </c>
      <c r="B1" s="377"/>
      <c r="C1" s="377"/>
      <c r="D1" s="377"/>
      <c r="E1" s="377"/>
      <c r="F1" s="377"/>
      <c r="G1" s="377"/>
    </row>
    <row r="2" spans="1:7" x14ac:dyDescent="0.2">
      <c r="A2" s="377"/>
      <c r="B2" s="377"/>
      <c r="C2" s="377"/>
      <c r="D2" s="377"/>
      <c r="E2" s="377"/>
      <c r="F2" s="377"/>
      <c r="G2" s="377"/>
    </row>
    <row r="3" spans="1:7" x14ac:dyDescent="0.2">
      <c r="A3" s="377"/>
      <c r="B3" s="377"/>
      <c r="C3" s="377"/>
      <c r="D3" s="377"/>
      <c r="E3" s="377"/>
      <c r="F3" s="377"/>
      <c r="G3" s="377"/>
    </row>
    <row r="4" spans="1:7" x14ac:dyDescent="0.2">
      <c r="A4" s="376" t="s">
        <v>1</v>
      </c>
      <c r="B4" s="376"/>
      <c r="C4" s="376"/>
      <c r="D4" s="376"/>
      <c r="E4" s="376"/>
      <c r="F4" s="376"/>
      <c r="G4" s="376"/>
    </row>
    <row r="5" spans="1:7" x14ac:dyDescent="0.2">
      <c r="A5" s="378">
        <v>8900000</v>
      </c>
      <c r="B5" s="378"/>
      <c r="C5" s="378"/>
      <c r="D5" s="378"/>
      <c r="E5" s="378"/>
      <c r="F5" s="378"/>
      <c r="G5" s="378"/>
    </row>
    <row r="6" spans="1:7" x14ac:dyDescent="0.2">
      <c r="A6" s="392"/>
      <c r="B6" s="392"/>
      <c r="C6" s="392"/>
      <c r="D6" s="392"/>
      <c r="E6" s="392"/>
      <c r="F6" s="392"/>
      <c r="G6" s="392"/>
    </row>
    <row r="7" spans="1:7" x14ac:dyDescent="0.2">
      <c r="A7" s="389" t="s">
        <v>2</v>
      </c>
      <c r="B7" s="389"/>
      <c r="C7" s="389"/>
      <c r="D7" s="389"/>
      <c r="E7" s="389"/>
      <c r="F7" s="389"/>
      <c r="G7" s="389"/>
    </row>
    <row r="8" spans="1:7" x14ac:dyDescent="0.2">
      <c r="A8" s="390" t="s">
        <v>3</v>
      </c>
      <c r="B8" s="390"/>
      <c r="C8" s="390"/>
      <c r="D8" s="390"/>
      <c r="E8" s="390" t="s">
        <v>4</v>
      </c>
      <c r="F8" s="390"/>
      <c r="G8" s="390"/>
    </row>
    <row r="9" spans="1:7" x14ac:dyDescent="0.2">
      <c r="A9" s="391">
        <f>((A5/50)*5)/A5</f>
        <v>0.1</v>
      </c>
      <c r="B9" s="391"/>
      <c r="C9" s="391"/>
      <c r="D9" s="391"/>
      <c r="E9" s="390">
        <f>A9*A5</f>
        <v>890000</v>
      </c>
      <c r="F9" s="390"/>
      <c r="G9" s="390"/>
    </row>
    <row r="10" spans="1:7" x14ac:dyDescent="0.2">
      <c r="A10" s="388"/>
      <c r="B10" s="388"/>
      <c r="C10" s="388"/>
      <c r="D10" s="388"/>
      <c r="E10" s="388"/>
      <c r="F10" s="388"/>
      <c r="G10" s="388"/>
    </row>
    <row r="11" spans="1:7" x14ac:dyDescent="0.2">
      <c r="A11" s="389" t="s">
        <v>5</v>
      </c>
      <c r="B11" s="389"/>
      <c r="C11" s="389"/>
      <c r="D11" s="389"/>
      <c r="E11" s="389"/>
      <c r="F11" s="389"/>
      <c r="G11" s="389"/>
    </row>
    <row r="12" spans="1:7" x14ac:dyDescent="0.2">
      <c r="A12" s="390" t="s">
        <v>10</v>
      </c>
      <c r="B12" s="390"/>
      <c r="C12" s="390"/>
      <c r="D12" s="390"/>
      <c r="E12" s="390" t="s">
        <v>4</v>
      </c>
      <c r="F12" s="390"/>
      <c r="G12" s="390"/>
    </row>
    <row r="13" spans="1:7" x14ac:dyDescent="0.2">
      <c r="A13" s="391">
        <v>0.5</v>
      </c>
      <c r="B13" s="391"/>
      <c r="C13" s="391"/>
      <c r="D13" s="391"/>
      <c r="E13" s="390">
        <f>A13*E9</f>
        <v>445000</v>
      </c>
      <c r="F13" s="390"/>
      <c r="G13" s="390"/>
    </row>
    <row r="14" spans="1:7" x14ac:dyDescent="0.2">
      <c r="A14" s="388"/>
      <c r="B14" s="388"/>
      <c r="C14" s="388"/>
      <c r="D14" s="388"/>
      <c r="E14" s="388"/>
      <c r="F14" s="388"/>
      <c r="G14" s="388"/>
    </row>
    <row r="15" spans="1:7" x14ac:dyDescent="0.2">
      <c r="A15" s="389" t="s">
        <v>6</v>
      </c>
      <c r="B15" s="389"/>
      <c r="C15" s="389"/>
      <c r="D15" s="389"/>
      <c r="E15" s="389"/>
      <c r="F15" s="389"/>
      <c r="G15" s="389"/>
    </row>
    <row r="16" spans="1:7" x14ac:dyDescent="0.2">
      <c r="A16" s="390" t="s">
        <v>11</v>
      </c>
      <c r="B16" s="390"/>
      <c r="C16" s="390"/>
      <c r="D16" s="390"/>
      <c r="E16" s="390" t="s">
        <v>4</v>
      </c>
      <c r="F16" s="390"/>
      <c r="G16" s="390"/>
    </row>
    <row r="17" spans="1:14" x14ac:dyDescent="0.2">
      <c r="A17" s="391">
        <v>0.33</v>
      </c>
      <c r="B17" s="391"/>
      <c r="C17" s="391"/>
      <c r="D17" s="391"/>
      <c r="E17" s="390">
        <f>A17*E13</f>
        <v>146850</v>
      </c>
      <c r="F17" s="390"/>
      <c r="G17" s="390"/>
    </row>
    <row r="18" spans="1:14" x14ac:dyDescent="0.2">
      <c r="A18" s="388"/>
      <c r="B18" s="388"/>
      <c r="C18" s="388"/>
      <c r="D18" s="388"/>
      <c r="E18" s="388"/>
      <c r="F18" s="388"/>
      <c r="G18" s="388"/>
    </row>
    <row r="19" spans="1:14" x14ac:dyDescent="0.2">
      <c r="A19" s="389" t="s">
        <v>14</v>
      </c>
      <c r="B19" s="389"/>
      <c r="C19" s="389"/>
      <c r="D19" s="389"/>
      <c r="E19" s="389"/>
      <c r="F19" s="389"/>
      <c r="G19" s="389"/>
    </row>
    <row r="20" spans="1:14" x14ac:dyDescent="0.2">
      <c r="A20" s="384" t="s">
        <v>15</v>
      </c>
      <c r="B20" s="385"/>
      <c r="C20" s="393" t="s">
        <v>51</v>
      </c>
      <c r="D20" s="394"/>
      <c r="E20" s="384" t="s">
        <v>59</v>
      </c>
      <c r="F20" s="385"/>
      <c r="G20" s="11" t="s">
        <v>16</v>
      </c>
      <c r="H20" t="s">
        <v>60</v>
      </c>
      <c r="M20" s="6"/>
      <c r="N20" s="33"/>
    </row>
    <row r="21" spans="1:14" ht="17" thickBot="1" x14ac:dyDescent="0.25">
      <c r="A21" s="398" t="str">
        <f>A48</f>
        <v>Mission Viejo</v>
      </c>
      <c r="B21" s="399"/>
      <c r="C21" s="395">
        <f>B48+B46+B44+B43+B34+B28+B52+B54+B53</f>
        <v>504333</v>
      </c>
      <c r="D21" s="396"/>
      <c r="E21" s="386">
        <v>0.1</v>
      </c>
      <c r="F21" s="387"/>
      <c r="G21" s="19">
        <f>E21*E17</f>
        <v>14685</v>
      </c>
      <c r="H21" s="24">
        <f>G21/C21</f>
        <v>2.9117666303811171E-2</v>
      </c>
      <c r="L21" s="32"/>
      <c r="M21" s="6"/>
    </row>
    <row r="22" spans="1:14" ht="17" thickBot="1" x14ac:dyDescent="0.25">
      <c r="A22" s="12"/>
      <c r="B22" s="18"/>
      <c r="C22" s="400" t="s">
        <v>7</v>
      </c>
      <c r="D22" s="401"/>
      <c r="E22" s="381">
        <v>0.5</v>
      </c>
      <c r="F22" s="381"/>
      <c r="G22" s="21">
        <f>E22*$G$21</f>
        <v>7342.5</v>
      </c>
      <c r="L22" s="31"/>
    </row>
    <row r="23" spans="1:14" ht="17" thickBot="1" x14ac:dyDescent="0.25">
      <c r="A23" s="12"/>
      <c r="B23" s="18"/>
      <c r="C23" s="404" t="s">
        <v>8</v>
      </c>
      <c r="D23" s="405"/>
      <c r="E23" s="406">
        <v>0.25</v>
      </c>
      <c r="F23" s="406"/>
      <c r="G23" s="22">
        <f t="shared" ref="G23:G24" si="0">E23*$G$21</f>
        <v>3671.25</v>
      </c>
      <c r="L23" s="31"/>
    </row>
    <row r="24" spans="1:14" ht="17" thickBot="1" x14ac:dyDescent="0.25">
      <c r="A24" s="12"/>
      <c r="B24" s="18"/>
      <c r="C24" s="407" t="s">
        <v>9</v>
      </c>
      <c r="D24" s="408"/>
      <c r="E24" s="382">
        <v>0.15</v>
      </c>
      <c r="F24" s="382"/>
      <c r="G24" s="23">
        <f t="shared" si="0"/>
        <v>2202.75</v>
      </c>
      <c r="L24" s="31"/>
    </row>
    <row r="25" spans="1:14" ht="17" thickBot="1" x14ac:dyDescent="0.25">
      <c r="A25" s="12"/>
      <c r="B25" s="18"/>
      <c r="C25" s="409" t="s">
        <v>52</v>
      </c>
      <c r="D25" s="410"/>
      <c r="E25" s="383">
        <v>0.1</v>
      </c>
      <c r="F25" s="383"/>
      <c r="G25" s="20">
        <f>E25*$G$21</f>
        <v>1468.5</v>
      </c>
    </row>
    <row r="26" spans="1:14" x14ac:dyDescent="0.2">
      <c r="A26" s="388"/>
      <c r="B26" s="388"/>
      <c r="C26" s="397"/>
      <c r="D26" s="397"/>
      <c r="E26" s="397"/>
      <c r="F26" s="397"/>
      <c r="G26" s="397"/>
    </row>
    <row r="27" spans="1:14" x14ac:dyDescent="0.2">
      <c r="A27" s="13" t="s">
        <v>13</v>
      </c>
      <c r="B27" s="16" t="s">
        <v>12</v>
      </c>
      <c r="C27" s="412"/>
      <c r="D27" s="385"/>
    </row>
    <row r="28" spans="1:14" ht="16" hidden="1" customHeight="1" outlineLevel="1" x14ac:dyDescent="0.2">
      <c r="A28" t="s">
        <v>17</v>
      </c>
      <c r="B28" s="15">
        <v>51824</v>
      </c>
      <c r="C28" s="14"/>
    </row>
    <row r="29" spans="1:14" ht="16" hidden="1" customHeight="1" outlineLevel="1" x14ac:dyDescent="0.2">
      <c r="A29" t="s">
        <v>18</v>
      </c>
      <c r="B29" s="17">
        <v>345940</v>
      </c>
    </row>
    <row r="30" spans="1:14" ht="16" hidden="1" customHeight="1" outlineLevel="1" x14ac:dyDescent="0.2">
      <c r="A30" t="s">
        <v>19</v>
      </c>
      <c r="B30" s="17">
        <v>47589</v>
      </c>
    </row>
    <row r="31" spans="1:14" hidden="1" outlineLevel="1" x14ac:dyDescent="0.2">
      <c r="A31" t="s">
        <v>20</v>
      </c>
      <c r="B31" s="17">
        <v>83011</v>
      </c>
    </row>
    <row r="32" spans="1:14" hidden="1" outlineLevel="1" x14ac:dyDescent="0.2">
      <c r="A32" t="s">
        <v>21</v>
      </c>
      <c r="B32" s="17">
        <v>110750</v>
      </c>
    </row>
    <row r="33" spans="1:2" hidden="1" outlineLevel="1" x14ac:dyDescent="0.2">
      <c r="A33" t="s">
        <v>22</v>
      </c>
      <c r="B33" s="17">
        <v>49926</v>
      </c>
    </row>
    <row r="34" spans="1:2" hidden="1" outlineLevel="1" x14ac:dyDescent="0.2">
      <c r="A34" t="s">
        <v>23</v>
      </c>
      <c r="B34" s="17">
        <v>32821</v>
      </c>
    </row>
    <row r="35" spans="1:2" hidden="1" outlineLevel="1" x14ac:dyDescent="0.2">
      <c r="A35" t="s">
        <v>24</v>
      </c>
      <c r="B35" s="17">
        <v>56495</v>
      </c>
    </row>
    <row r="36" spans="1:2" hidden="1" outlineLevel="1" x14ac:dyDescent="0.2">
      <c r="A36" t="s">
        <v>25</v>
      </c>
      <c r="B36" s="17">
        <v>141874</v>
      </c>
    </row>
    <row r="37" spans="1:2" hidden="1" outlineLevel="1" x14ac:dyDescent="0.2">
      <c r="A37" t="s">
        <v>26</v>
      </c>
      <c r="B37" s="17">
        <v>170488</v>
      </c>
    </row>
    <row r="38" spans="1:2" hidden="1" outlineLevel="1" x14ac:dyDescent="0.2">
      <c r="A38" t="s">
        <v>27</v>
      </c>
      <c r="B38" s="17">
        <v>196652</v>
      </c>
    </row>
    <row r="39" spans="1:2" hidden="1" outlineLevel="1" x14ac:dyDescent="0.2">
      <c r="A39" t="s">
        <v>28</v>
      </c>
      <c r="B39" s="17">
        <v>309031</v>
      </c>
    </row>
    <row r="40" spans="1:2" hidden="1" outlineLevel="1" x14ac:dyDescent="0.2">
      <c r="A40" t="s">
        <v>29</v>
      </c>
      <c r="B40" s="17">
        <v>62609</v>
      </c>
    </row>
    <row r="41" spans="1:2" hidden="1" outlineLevel="1" x14ac:dyDescent="0.2">
      <c r="A41" t="s">
        <v>30</v>
      </c>
      <c r="B41" s="17">
        <v>15413</v>
      </c>
    </row>
    <row r="42" spans="1:2" hidden="1" outlineLevel="1" x14ac:dyDescent="0.2">
      <c r="A42" t="s">
        <v>31</v>
      </c>
      <c r="B42" s="17">
        <v>22795</v>
      </c>
    </row>
    <row r="43" spans="1:2" hidden="1" outlineLevel="1" x14ac:dyDescent="0.2">
      <c r="A43" t="s">
        <v>32</v>
      </c>
      <c r="B43" s="17">
        <v>30965</v>
      </c>
    </row>
    <row r="44" spans="1:2" hidden="1" outlineLevel="1" x14ac:dyDescent="0.2">
      <c r="A44" t="s">
        <v>33</v>
      </c>
      <c r="B44" s="17">
        <v>64239</v>
      </c>
    </row>
    <row r="45" spans="1:2" hidden="1" outlineLevel="1" x14ac:dyDescent="0.2">
      <c r="A45" t="s">
        <v>34</v>
      </c>
      <c r="B45" s="17">
        <v>17452</v>
      </c>
    </row>
    <row r="46" spans="1:2" hidden="1" outlineLevel="1" x14ac:dyDescent="0.2">
      <c r="A46" t="s">
        <v>35</v>
      </c>
      <c r="B46" s="17">
        <v>85742</v>
      </c>
    </row>
    <row r="47" spans="1:2" hidden="1" outlineLevel="1" x14ac:dyDescent="0.2">
      <c r="A47" t="s">
        <v>36</v>
      </c>
      <c r="B47" s="17">
        <v>11695</v>
      </c>
    </row>
    <row r="48" spans="1:2" hidden="1" outlineLevel="1" x14ac:dyDescent="0.2">
      <c r="A48" t="s">
        <v>37</v>
      </c>
      <c r="B48" s="17">
        <v>92449</v>
      </c>
    </row>
    <row r="49" spans="1:8" hidden="1" outlineLevel="1" x14ac:dyDescent="0.2">
      <c r="A49" t="s">
        <v>38</v>
      </c>
      <c r="B49" s="17">
        <v>84792</v>
      </c>
    </row>
    <row r="50" spans="1:8" hidden="1" outlineLevel="1" x14ac:dyDescent="0.2">
      <c r="A50" t="s">
        <v>39</v>
      </c>
      <c r="B50" s="17">
        <v>137263</v>
      </c>
    </row>
    <row r="51" spans="1:8" hidden="1" outlineLevel="1" x14ac:dyDescent="0.2">
      <c r="A51" t="s">
        <v>40</v>
      </c>
      <c r="B51" s="17">
        <v>51274</v>
      </c>
    </row>
    <row r="52" spans="1:8" hidden="1" outlineLevel="1" x14ac:dyDescent="0.2">
      <c r="A52" t="s">
        <v>41</v>
      </c>
      <c r="B52" s="17">
        <v>47442</v>
      </c>
    </row>
    <row r="53" spans="1:8" hidden="1" outlineLevel="1" x14ac:dyDescent="0.2">
      <c r="A53" t="s">
        <v>42</v>
      </c>
      <c r="B53" s="17">
        <v>63896</v>
      </c>
    </row>
    <row r="54" spans="1:8" hidden="1" outlineLevel="1" x14ac:dyDescent="0.2">
      <c r="A54" t="s">
        <v>43</v>
      </c>
      <c r="B54" s="17">
        <v>34955</v>
      </c>
    </row>
    <row r="55" spans="1:8" hidden="1" outlineLevel="1" x14ac:dyDescent="0.2">
      <c r="A55" t="s">
        <v>44</v>
      </c>
      <c r="B55" s="17">
        <v>309441</v>
      </c>
    </row>
    <row r="56" spans="1:8" hidden="1" outlineLevel="1" x14ac:dyDescent="0.2">
      <c r="A56" t="s">
        <v>45</v>
      </c>
      <c r="B56" s="17">
        <v>24937</v>
      </c>
    </row>
    <row r="57" spans="1:8" hidden="1" outlineLevel="1" x14ac:dyDescent="0.2">
      <c r="A57" t="s">
        <v>46</v>
      </c>
      <c r="B57" s="17">
        <v>37970</v>
      </c>
    </row>
    <row r="58" spans="1:8" hidden="1" outlineLevel="1" x14ac:dyDescent="0.2">
      <c r="A58" t="s">
        <v>47</v>
      </c>
      <c r="B58" s="17">
        <v>79430</v>
      </c>
    </row>
    <row r="59" spans="1:8" hidden="1" outlineLevel="1" x14ac:dyDescent="0.2">
      <c r="A59" t="s">
        <v>48</v>
      </c>
      <c r="B59" s="17">
        <v>5773</v>
      </c>
    </row>
    <row r="60" spans="1:8" hidden="1" outlineLevel="1" x14ac:dyDescent="0.2">
      <c r="A60" t="s">
        <v>49</v>
      </c>
      <c r="B60" s="17">
        <v>90195</v>
      </c>
    </row>
    <row r="61" spans="1:8" hidden="1" outlineLevel="1" x14ac:dyDescent="0.2">
      <c r="A61" t="s">
        <v>50</v>
      </c>
      <c r="B61" s="17">
        <v>67989</v>
      </c>
    </row>
    <row r="62" spans="1:8" collapsed="1" x14ac:dyDescent="0.2">
      <c r="A62" s="388"/>
      <c r="B62" s="388"/>
      <c r="C62" s="397"/>
      <c r="D62" s="397"/>
      <c r="E62" s="397"/>
      <c r="F62" s="397"/>
      <c r="G62" s="411"/>
    </row>
    <row r="63" spans="1:8" x14ac:dyDescent="0.2">
      <c r="A63" s="402" t="s">
        <v>53</v>
      </c>
      <c r="B63" s="403"/>
      <c r="C63" s="8" t="s">
        <v>54</v>
      </c>
      <c r="D63" s="8" t="s">
        <v>55</v>
      </c>
      <c r="E63" s="8" t="s">
        <v>67</v>
      </c>
      <c r="F63" s="8" t="s">
        <v>68</v>
      </c>
      <c r="G63" s="8" t="s">
        <v>69</v>
      </c>
      <c r="H63" s="5"/>
    </row>
    <row r="64" spans="1:8" x14ac:dyDescent="0.2">
      <c r="A64" s="379" t="s">
        <v>70</v>
      </c>
      <c r="B64" s="380"/>
      <c r="C64" s="27">
        <v>150</v>
      </c>
      <c r="D64" s="4" t="s">
        <v>56</v>
      </c>
      <c r="E64" s="4">
        <v>20</v>
      </c>
      <c r="F64" s="34">
        <f>E64*C64</f>
        <v>3000</v>
      </c>
      <c r="G64" s="29">
        <f>F64*12</f>
        <v>36000</v>
      </c>
    </row>
    <row r="65" spans="1:8" x14ac:dyDescent="0.2">
      <c r="A65" s="379" t="s">
        <v>71</v>
      </c>
      <c r="B65" s="380"/>
      <c r="C65" s="27">
        <v>250</v>
      </c>
      <c r="D65" s="4" t="s">
        <v>56</v>
      </c>
      <c r="E65" s="4">
        <v>380</v>
      </c>
      <c r="F65" s="34">
        <f>E65*C65</f>
        <v>95000</v>
      </c>
      <c r="G65" s="29">
        <f>F65*12</f>
        <v>1140000</v>
      </c>
    </row>
    <row r="66" spans="1:8" x14ac:dyDescent="0.2">
      <c r="A66" s="379" t="s">
        <v>72</v>
      </c>
      <c r="B66" s="380"/>
      <c r="C66" s="27">
        <v>400</v>
      </c>
      <c r="D66" s="4" t="s">
        <v>56</v>
      </c>
      <c r="E66" s="4">
        <v>100</v>
      </c>
      <c r="F66" s="34">
        <f>E66*C66</f>
        <v>40000</v>
      </c>
      <c r="G66" s="29">
        <f>F66*12</f>
        <v>480000</v>
      </c>
    </row>
    <row r="67" spans="1:8" x14ac:dyDescent="0.2">
      <c r="A67" s="379" t="s">
        <v>79</v>
      </c>
      <c r="B67" s="380"/>
      <c r="C67" s="27">
        <v>1000</v>
      </c>
      <c r="D67" s="4" t="s">
        <v>57</v>
      </c>
      <c r="E67" s="4">
        <v>500</v>
      </c>
      <c r="F67" s="34"/>
      <c r="G67" s="29">
        <f>C67*E67</f>
        <v>500000</v>
      </c>
    </row>
    <row r="68" spans="1:8" x14ac:dyDescent="0.2">
      <c r="A68" s="7"/>
      <c r="B68" s="4"/>
      <c r="C68" s="27"/>
      <c r="D68" s="4"/>
      <c r="E68" s="4"/>
      <c r="F68" s="34"/>
      <c r="G68" s="29"/>
    </row>
    <row r="69" spans="1:8" x14ac:dyDescent="0.2">
      <c r="A69" s="402" t="s">
        <v>53</v>
      </c>
      <c r="B69" s="403"/>
      <c r="C69" s="8" t="s">
        <v>54</v>
      </c>
      <c r="D69" s="8" t="s">
        <v>55</v>
      </c>
      <c r="E69" s="8" t="s">
        <v>76</v>
      </c>
      <c r="F69" s="8" t="s">
        <v>68</v>
      </c>
      <c r="G69" s="8" t="s">
        <v>69</v>
      </c>
    </row>
    <row r="70" spans="1:8" x14ac:dyDescent="0.2">
      <c r="A70" s="425" t="s">
        <v>73</v>
      </c>
      <c r="B70" s="426"/>
      <c r="C70" s="28">
        <v>50</v>
      </c>
      <c r="D70" s="3" t="s">
        <v>75</v>
      </c>
      <c r="E70" s="3">
        <v>30</v>
      </c>
      <c r="F70" s="35">
        <f>E70*C70</f>
        <v>1500</v>
      </c>
      <c r="G70" s="30">
        <f>F70*12</f>
        <v>18000</v>
      </c>
    </row>
    <row r="71" spans="1:8" x14ac:dyDescent="0.2">
      <c r="A71" s="2"/>
      <c r="B71" s="3"/>
      <c r="C71" s="28"/>
      <c r="D71" s="3"/>
      <c r="E71" s="3"/>
      <c r="F71" s="35"/>
      <c r="G71" s="30"/>
    </row>
    <row r="72" spans="1:8" x14ac:dyDescent="0.2">
      <c r="A72" s="402" t="s">
        <v>53</v>
      </c>
      <c r="B72" s="403"/>
      <c r="C72" s="8" t="s">
        <v>54</v>
      </c>
      <c r="D72" s="8" t="s">
        <v>55</v>
      </c>
      <c r="E72" s="8" t="s">
        <v>77</v>
      </c>
      <c r="F72" s="8" t="s">
        <v>68</v>
      </c>
      <c r="G72" s="8" t="s">
        <v>69</v>
      </c>
    </row>
    <row r="73" spans="1:8" x14ac:dyDescent="0.2">
      <c r="A73" s="425" t="s">
        <v>74</v>
      </c>
      <c r="B73" s="426"/>
      <c r="C73" s="28">
        <v>100</v>
      </c>
      <c r="D73" s="3" t="s">
        <v>75</v>
      </c>
      <c r="E73" s="3">
        <v>40</v>
      </c>
      <c r="F73" s="35">
        <f>(E73*4)*C73</f>
        <v>16000</v>
      </c>
      <c r="G73" s="30">
        <f>F73*12</f>
        <v>192000</v>
      </c>
    </row>
    <row r="74" spans="1:8" ht="17" thickBot="1" x14ac:dyDescent="0.25">
      <c r="A74" s="1"/>
      <c r="B74" s="1"/>
      <c r="C74" s="25"/>
      <c r="D74" s="1"/>
      <c r="E74" s="1"/>
      <c r="F74" s="26"/>
      <c r="G74" s="9"/>
    </row>
    <row r="75" spans="1:8" ht="17" thickBot="1" x14ac:dyDescent="0.25">
      <c r="A75" s="423" t="s">
        <v>58</v>
      </c>
      <c r="B75" s="424"/>
      <c r="C75" s="424"/>
      <c r="D75" s="424"/>
      <c r="E75" s="36">
        <f>SUM(E64:E66)</f>
        <v>500</v>
      </c>
      <c r="F75" s="37">
        <f>SUM(F64:F73)</f>
        <v>155500</v>
      </c>
      <c r="G75" s="10">
        <f>SUM(G64:G67)+G70+G73</f>
        <v>2366000</v>
      </c>
    </row>
    <row r="77" spans="1:8" ht="17" thickBot="1" x14ac:dyDescent="0.25">
      <c r="A77" s="413"/>
      <c r="B77" s="413"/>
      <c r="C77" s="414"/>
      <c r="D77" s="414"/>
      <c r="E77" s="414"/>
      <c r="F77" s="414"/>
      <c r="G77" s="415"/>
    </row>
    <row r="78" spans="1:8" ht="17" thickBot="1" x14ac:dyDescent="0.25">
      <c r="A78" s="416" t="s">
        <v>78</v>
      </c>
      <c r="B78" s="417"/>
      <c r="C78" s="417"/>
      <c r="D78" s="417"/>
      <c r="E78" s="417"/>
      <c r="F78" s="417"/>
      <c r="G78" s="418"/>
    </row>
    <row r="79" spans="1:8" x14ac:dyDescent="0.2">
      <c r="A79" s="419" t="s">
        <v>80</v>
      </c>
      <c r="B79" s="376"/>
      <c r="C79" s="38" t="s">
        <v>54</v>
      </c>
      <c r="D79" s="38" t="s">
        <v>82</v>
      </c>
      <c r="E79" s="38" t="s">
        <v>78</v>
      </c>
      <c r="F79" s="419" t="s">
        <v>83</v>
      </c>
      <c r="G79" s="420"/>
    </row>
    <row r="80" spans="1:8" x14ac:dyDescent="0.2">
      <c r="A80" s="379" t="s">
        <v>81</v>
      </c>
      <c r="B80" s="380"/>
      <c r="C80" s="27">
        <v>9200</v>
      </c>
      <c r="D80" s="4">
        <v>8</v>
      </c>
      <c r="E80" s="34">
        <f t="shared" ref="E80:E86" si="1">C80</f>
        <v>9200</v>
      </c>
      <c r="F80" s="421">
        <f t="shared" ref="F80:F86" si="2">E80*D80</f>
        <v>73600</v>
      </c>
      <c r="G80" s="422"/>
      <c r="H80" t="s">
        <v>87</v>
      </c>
    </row>
    <row r="81" spans="1:8" x14ac:dyDescent="0.2">
      <c r="A81" s="425" t="s">
        <v>84</v>
      </c>
      <c r="B81" s="426"/>
      <c r="C81" s="28">
        <v>11850</v>
      </c>
      <c r="D81" s="3">
        <v>2</v>
      </c>
      <c r="E81" s="35">
        <f t="shared" si="1"/>
        <v>11850</v>
      </c>
      <c r="F81" s="421">
        <f t="shared" si="2"/>
        <v>23700</v>
      </c>
      <c r="G81" s="422"/>
      <c r="H81" t="s">
        <v>87</v>
      </c>
    </row>
    <row r="82" spans="1:8" x14ac:dyDescent="0.2">
      <c r="A82" s="427" t="s">
        <v>85</v>
      </c>
      <c r="B82" s="427"/>
      <c r="C82" s="25">
        <v>3199.95</v>
      </c>
      <c r="D82" s="1">
        <v>10</v>
      </c>
      <c r="E82" s="26">
        <f t="shared" si="1"/>
        <v>3199.95</v>
      </c>
      <c r="F82" s="421">
        <f t="shared" si="2"/>
        <v>31999.5</v>
      </c>
      <c r="G82" s="422"/>
      <c r="H82" t="s">
        <v>86</v>
      </c>
    </row>
    <row r="83" spans="1:8" x14ac:dyDescent="0.2">
      <c r="A83" s="425" t="s">
        <v>88</v>
      </c>
      <c r="B83" s="426"/>
      <c r="C83" s="28">
        <v>101.5</v>
      </c>
      <c r="D83" s="3">
        <v>20</v>
      </c>
      <c r="E83" s="35">
        <f t="shared" si="1"/>
        <v>101.5</v>
      </c>
      <c r="F83" s="428">
        <f t="shared" si="2"/>
        <v>2030</v>
      </c>
      <c r="G83" s="429"/>
      <c r="H83" t="s">
        <v>89</v>
      </c>
    </row>
    <row r="84" spans="1:8" x14ac:dyDescent="0.2">
      <c r="A84" s="425" t="s">
        <v>91</v>
      </c>
      <c r="B84" s="426"/>
      <c r="C84" s="28">
        <v>632</v>
      </c>
      <c r="D84" s="3">
        <v>10</v>
      </c>
      <c r="E84" s="35">
        <f t="shared" si="1"/>
        <v>632</v>
      </c>
      <c r="F84" s="428">
        <f t="shared" si="2"/>
        <v>6320</v>
      </c>
      <c r="G84" s="429"/>
      <c r="H84" t="s">
        <v>90</v>
      </c>
    </row>
    <row r="85" spans="1:8" x14ac:dyDescent="0.2">
      <c r="A85" s="379" t="s">
        <v>93</v>
      </c>
      <c r="B85" s="380"/>
      <c r="C85" s="27">
        <v>119.95</v>
      </c>
      <c r="D85" s="4">
        <v>10</v>
      </c>
      <c r="E85" s="34">
        <f t="shared" si="1"/>
        <v>119.95</v>
      </c>
      <c r="F85" s="421">
        <f t="shared" si="2"/>
        <v>1199.5</v>
      </c>
      <c r="G85" s="422"/>
      <c r="H85" t="s">
        <v>92</v>
      </c>
    </row>
    <row r="86" spans="1:8" ht="17" thickBot="1" x14ac:dyDescent="0.25">
      <c r="A86" s="379" t="s">
        <v>104</v>
      </c>
      <c r="B86" s="380"/>
      <c r="C86" s="27">
        <v>119.95</v>
      </c>
      <c r="D86" s="4">
        <v>10</v>
      </c>
      <c r="E86" s="34">
        <f t="shared" si="1"/>
        <v>119.95</v>
      </c>
      <c r="F86" s="421">
        <f t="shared" si="2"/>
        <v>1199.5</v>
      </c>
      <c r="G86" s="422"/>
    </row>
    <row r="87" spans="1:8" ht="17" thickBot="1" x14ac:dyDescent="0.25">
      <c r="A87" s="423" t="s">
        <v>58</v>
      </c>
      <c r="B87" s="424"/>
      <c r="C87" s="424"/>
      <c r="D87" s="424"/>
      <c r="E87" s="37">
        <f>SUM(E81:E85)</f>
        <v>15903.400000000001</v>
      </c>
      <c r="F87" s="430">
        <f>SUM(F81:G86)</f>
        <v>66448.5</v>
      </c>
      <c r="G87" s="431"/>
    </row>
    <row r="88" spans="1:8" ht="17" thickBot="1" x14ac:dyDescent="0.25"/>
    <row r="89" spans="1:8" ht="17" thickBot="1" x14ac:dyDescent="0.25">
      <c r="A89" s="416" t="s">
        <v>102</v>
      </c>
      <c r="B89" s="417"/>
      <c r="C89" s="417"/>
      <c r="D89" s="417"/>
      <c r="E89" s="417"/>
      <c r="F89" s="417"/>
      <c r="G89" s="418"/>
    </row>
    <row r="90" spans="1:8" x14ac:dyDescent="0.2">
      <c r="A90" s="419" t="s">
        <v>95</v>
      </c>
      <c r="B90" s="376"/>
      <c r="C90" s="433" t="s">
        <v>97</v>
      </c>
      <c r="D90" s="434"/>
      <c r="E90" s="434"/>
      <c r="F90" s="434"/>
      <c r="G90" s="435"/>
    </row>
    <row r="91" spans="1:8" x14ac:dyDescent="0.2">
      <c r="A91" s="432" t="s">
        <v>96</v>
      </c>
      <c r="B91" s="432"/>
      <c r="C91" s="436">
        <v>50000</v>
      </c>
      <c r="D91" s="436"/>
      <c r="E91" s="436"/>
      <c r="F91" s="436"/>
      <c r="G91" s="436"/>
      <c r="H91" t="s">
        <v>94</v>
      </c>
    </row>
    <row r="92" spans="1:8" ht="17" thickBot="1" x14ac:dyDescent="0.25">
      <c r="A92" s="432" t="s">
        <v>98</v>
      </c>
      <c r="B92" s="432"/>
      <c r="C92" s="436">
        <v>25000</v>
      </c>
      <c r="D92" s="436"/>
      <c r="E92" s="436"/>
      <c r="F92" s="436"/>
      <c r="G92" s="436"/>
      <c r="H92" t="s">
        <v>94</v>
      </c>
    </row>
    <row r="93" spans="1:8" ht="17" thickBot="1" x14ac:dyDescent="0.25">
      <c r="A93" s="423" t="s">
        <v>58</v>
      </c>
      <c r="B93" s="424"/>
      <c r="C93" s="430">
        <f>SUM(C91:G92)</f>
        <v>75000</v>
      </c>
      <c r="D93" s="430"/>
      <c r="E93" s="430"/>
      <c r="F93" s="430"/>
      <c r="G93" s="437"/>
    </row>
    <row r="94" spans="1:8" ht="17" thickBot="1" x14ac:dyDescent="0.25"/>
    <row r="95" spans="1:8" ht="17" thickBot="1" x14ac:dyDescent="0.25">
      <c r="A95" s="416" t="s">
        <v>103</v>
      </c>
      <c r="B95" s="417"/>
      <c r="C95" s="417"/>
      <c r="D95" s="417"/>
      <c r="E95" s="417"/>
      <c r="F95" s="417"/>
      <c r="G95" s="418"/>
    </row>
    <row r="96" spans="1:8" x14ac:dyDescent="0.2">
      <c r="A96" s="419" t="s">
        <v>101</v>
      </c>
      <c r="B96" s="376"/>
      <c r="C96" s="433" t="s">
        <v>97</v>
      </c>
      <c r="D96" s="434"/>
      <c r="E96" s="434"/>
      <c r="F96" s="434"/>
      <c r="G96" s="435"/>
    </row>
    <row r="97" spans="1:8" ht="17" thickBot="1" x14ac:dyDescent="0.25">
      <c r="A97" s="432" t="s">
        <v>100</v>
      </c>
      <c r="B97" s="432"/>
      <c r="C97" s="436">
        <v>150000</v>
      </c>
      <c r="D97" s="436"/>
      <c r="E97" s="436"/>
      <c r="F97" s="436"/>
      <c r="G97" s="436"/>
      <c r="H97" t="s">
        <v>99</v>
      </c>
    </row>
    <row r="98" spans="1:8" ht="17" thickBot="1" x14ac:dyDescent="0.25">
      <c r="A98" s="423" t="s">
        <v>58</v>
      </c>
      <c r="B98" s="424"/>
      <c r="C98" s="430">
        <f>SUM(C97:G97)</f>
        <v>150000</v>
      </c>
      <c r="D98" s="430"/>
      <c r="E98" s="430"/>
      <c r="F98" s="430"/>
      <c r="G98" s="437"/>
    </row>
    <row r="99" spans="1:8" ht="17" thickBot="1" x14ac:dyDescent="0.25"/>
    <row r="100" spans="1:8" ht="17" thickBot="1" x14ac:dyDescent="0.25">
      <c r="A100" s="416" t="s">
        <v>105</v>
      </c>
      <c r="B100" s="417"/>
      <c r="C100" s="417"/>
      <c r="D100" s="417"/>
      <c r="E100" s="417"/>
      <c r="F100" s="417"/>
      <c r="G100" s="418"/>
    </row>
    <row r="101" spans="1:8" x14ac:dyDescent="0.2">
      <c r="A101" s="419" t="s">
        <v>106</v>
      </c>
      <c r="B101" s="376"/>
      <c r="C101" s="433" t="s">
        <v>97</v>
      </c>
      <c r="D101" s="434"/>
      <c r="E101" s="434"/>
      <c r="F101" s="434"/>
      <c r="G101" s="435"/>
    </row>
    <row r="102" spans="1:8" ht="17" thickBot="1" x14ac:dyDescent="0.25">
      <c r="A102" s="439"/>
      <c r="B102" s="439"/>
      <c r="C102" s="436"/>
      <c r="D102" s="436"/>
      <c r="E102" s="436"/>
      <c r="F102" s="436"/>
      <c r="G102" s="436"/>
    </row>
    <row r="103" spans="1:8" ht="17" thickBot="1" x14ac:dyDescent="0.25">
      <c r="A103" s="438" t="s">
        <v>58</v>
      </c>
      <c r="B103" s="438"/>
      <c r="C103" s="430">
        <f>SUM(C102:G102)</f>
        <v>0</v>
      </c>
      <c r="D103" s="430"/>
      <c r="E103" s="430"/>
      <c r="F103" s="430"/>
      <c r="G103" s="437"/>
    </row>
    <row r="104" spans="1:8" ht="17" thickBot="1" x14ac:dyDescent="0.25"/>
    <row r="105" spans="1:8" ht="17" thickBot="1" x14ac:dyDescent="0.25">
      <c r="A105" s="416" t="s">
        <v>107</v>
      </c>
      <c r="B105" s="417"/>
      <c r="C105" s="417"/>
      <c r="D105" s="417"/>
      <c r="E105" s="417"/>
      <c r="F105" s="417"/>
      <c r="G105" s="418"/>
    </row>
    <row r="106" spans="1:8" x14ac:dyDescent="0.2">
      <c r="A106" s="419" t="s">
        <v>108</v>
      </c>
      <c r="B106" s="376"/>
      <c r="C106" s="38" t="s">
        <v>54</v>
      </c>
      <c r="D106" s="38" t="s">
        <v>111</v>
      </c>
      <c r="E106" s="433" t="s">
        <v>97</v>
      </c>
      <c r="F106" s="434"/>
      <c r="G106" s="435"/>
    </row>
    <row r="107" spans="1:8" ht="17" thickBot="1" x14ac:dyDescent="0.25">
      <c r="A107" s="439" t="s">
        <v>110</v>
      </c>
      <c r="B107" s="439"/>
      <c r="C107" s="27">
        <v>4999</v>
      </c>
      <c r="D107" s="4">
        <v>5</v>
      </c>
      <c r="E107" s="440">
        <f>D107*C107</f>
        <v>24995</v>
      </c>
      <c r="F107" s="441"/>
      <c r="G107" s="442"/>
      <c r="H107" t="s">
        <v>109</v>
      </c>
    </row>
    <row r="108" spans="1:8" ht="17" thickBot="1" x14ac:dyDescent="0.25">
      <c r="A108" s="438" t="s">
        <v>58</v>
      </c>
      <c r="B108" s="438"/>
      <c r="C108" s="438"/>
      <c r="D108" s="438"/>
      <c r="E108" s="430">
        <f>E107</f>
        <v>24995</v>
      </c>
      <c r="F108" s="430"/>
      <c r="G108" s="437"/>
    </row>
  </sheetData>
  <mergeCells count="100">
    <mergeCell ref="E107:G107"/>
    <mergeCell ref="E108:G108"/>
    <mergeCell ref="A108:D108"/>
    <mergeCell ref="A105:G105"/>
    <mergeCell ref="A106:B106"/>
    <mergeCell ref="A107:B107"/>
    <mergeCell ref="E106:G106"/>
    <mergeCell ref="A103:B103"/>
    <mergeCell ref="C103:G103"/>
    <mergeCell ref="C96:G96"/>
    <mergeCell ref="A97:B97"/>
    <mergeCell ref="C97:G97"/>
    <mergeCell ref="A98:B98"/>
    <mergeCell ref="C98:G98"/>
    <mergeCell ref="A96:B96"/>
    <mergeCell ref="A100:G100"/>
    <mergeCell ref="A101:B101"/>
    <mergeCell ref="C101:G101"/>
    <mergeCell ref="A102:B102"/>
    <mergeCell ref="C102:G102"/>
    <mergeCell ref="A95:G95"/>
    <mergeCell ref="A93:B93"/>
    <mergeCell ref="A89:G89"/>
    <mergeCell ref="A90:B90"/>
    <mergeCell ref="A91:B91"/>
    <mergeCell ref="C90:G90"/>
    <mergeCell ref="C91:G91"/>
    <mergeCell ref="A92:B92"/>
    <mergeCell ref="C92:G92"/>
    <mergeCell ref="C93:G93"/>
    <mergeCell ref="A84:B84"/>
    <mergeCell ref="F84:G84"/>
    <mergeCell ref="A85:B85"/>
    <mergeCell ref="F85:G85"/>
    <mergeCell ref="A87:D87"/>
    <mergeCell ref="F87:G87"/>
    <mergeCell ref="A86:B86"/>
    <mergeCell ref="F86:G86"/>
    <mergeCell ref="A81:B81"/>
    <mergeCell ref="F81:G81"/>
    <mergeCell ref="A82:B82"/>
    <mergeCell ref="F82:G82"/>
    <mergeCell ref="A83:B83"/>
    <mergeCell ref="F83:G83"/>
    <mergeCell ref="A77:G77"/>
    <mergeCell ref="A78:G78"/>
    <mergeCell ref="A67:B67"/>
    <mergeCell ref="A79:B79"/>
    <mergeCell ref="A80:B80"/>
    <mergeCell ref="F79:G79"/>
    <mergeCell ref="F80:G80"/>
    <mergeCell ref="A75:D75"/>
    <mergeCell ref="A70:B70"/>
    <mergeCell ref="A73:B73"/>
    <mergeCell ref="A69:B69"/>
    <mergeCell ref="A72:B72"/>
    <mergeCell ref="A64:B64"/>
    <mergeCell ref="A65:B65"/>
    <mergeCell ref="A26:G26"/>
    <mergeCell ref="A21:B21"/>
    <mergeCell ref="C22:D22"/>
    <mergeCell ref="A63:B63"/>
    <mergeCell ref="C23:D23"/>
    <mergeCell ref="E23:F23"/>
    <mergeCell ref="C24:D24"/>
    <mergeCell ref="C25:D25"/>
    <mergeCell ref="A62:G62"/>
    <mergeCell ref="C27:D27"/>
    <mergeCell ref="A18:G18"/>
    <mergeCell ref="A19:G19"/>
    <mergeCell ref="A20:B20"/>
    <mergeCell ref="C20:D20"/>
    <mergeCell ref="C21:D21"/>
    <mergeCell ref="A6:G6"/>
    <mergeCell ref="A10:G10"/>
    <mergeCell ref="A11:G11"/>
    <mergeCell ref="A12:D12"/>
    <mergeCell ref="E12:G12"/>
    <mergeCell ref="E13:G13"/>
    <mergeCell ref="A7:G7"/>
    <mergeCell ref="A8:D8"/>
    <mergeCell ref="E8:G8"/>
    <mergeCell ref="A9:D9"/>
    <mergeCell ref="E9:G9"/>
    <mergeCell ref="A4:G4"/>
    <mergeCell ref="A1:G3"/>
    <mergeCell ref="A5:G5"/>
    <mergeCell ref="A66:B66"/>
    <mergeCell ref="E22:F22"/>
    <mergeCell ref="E24:F24"/>
    <mergeCell ref="E25:F25"/>
    <mergeCell ref="E20:F20"/>
    <mergeCell ref="E21:F21"/>
    <mergeCell ref="A14:G14"/>
    <mergeCell ref="A15:G15"/>
    <mergeCell ref="A16:D16"/>
    <mergeCell ref="E16:G16"/>
    <mergeCell ref="A17:D17"/>
    <mergeCell ref="E17:G17"/>
    <mergeCell ref="A13:D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5C447-C78D-324A-9E7B-DBD0AAE994A9}">
  <dimension ref="A1:R29"/>
  <sheetViews>
    <sheetView tabSelected="1" workbookViewId="0">
      <selection activeCell="G32" sqref="G32"/>
    </sheetView>
  </sheetViews>
  <sheetFormatPr baseColWidth="10" defaultRowHeight="16" x14ac:dyDescent="0.2"/>
  <cols>
    <col min="4" max="4" width="11.5" bestFit="1" customWidth="1"/>
    <col min="6" max="6" width="12.33203125" bestFit="1" customWidth="1"/>
    <col min="7" max="7" width="11.6640625" bestFit="1" customWidth="1"/>
    <col min="8" max="8" width="12.5" bestFit="1" customWidth="1"/>
    <col min="9" max="9" width="11.5" bestFit="1" customWidth="1"/>
    <col min="10" max="11" width="11.33203125" bestFit="1" customWidth="1"/>
    <col min="13" max="13" width="11.5" bestFit="1" customWidth="1"/>
    <col min="14" max="14" width="11.33203125" bestFit="1" customWidth="1"/>
    <col min="17" max="17" width="11.33203125" bestFit="1" customWidth="1"/>
  </cols>
  <sheetData>
    <row r="1" spans="1:18" ht="16" customHeight="1" x14ac:dyDescent="0.2">
      <c r="A1" s="443" t="s">
        <v>299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</row>
    <row r="2" spans="1:18" ht="16" customHeight="1" x14ac:dyDescent="0.2">
      <c r="A2" s="443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</row>
    <row r="3" spans="1:18" ht="16" customHeight="1" x14ac:dyDescent="0.2">
      <c r="A3" s="443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</row>
    <row r="4" spans="1:18" ht="16" customHeight="1" x14ac:dyDescent="0.2">
      <c r="A4" s="443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</row>
    <row r="5" spans="1:18" ht="16" customHeight="1" x14ac:dyDescent="0.2">
      <c r="A5" s="443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</row>
    <row r="6" spans="1:18" s="446" customFormat="1" ht="17" thickBot="1" x14ac:dyDescent="0.25">
      <c r="A6" s="445"/>
      <c r="B6" s="445"/>
      <c r="C6" s="447"/>
      <c r="D6" s="499" t="s">
        <v>311</v>
      </c>
      <c r="E6" s="500"/>
      <c r="F6" s="501"/>
      <c r="G6" s="502" t="s">
        <v>312</v>
      </c>
      <c r="H6" s="502"/>
      <c r="I6" s="502"/>
      <c r="J6" s="503" t="s">
        <v>313</v>
      </c>
      <c r="K6" s="503"/>
      <c r="L6" s="503"/>
      <c r="M6" s="504" t="s">
        <v>314</v>
      </c>
      <c r="N6" s="504"/>
      <c r="O6" s="504"/>
      <c r="P6" s="505" t="s">
        <v>317</v>
      </c>
      <c r="Q6" s="502"/>
      <c r="R6" s="502"/>
    </row>
    <row r="7" spans="1:18" ht="19" customHeight="1" thickBot="1" x14ac:dyDescent="0.25">
      <c r="A7" s="493" t="s">
        <v>300</v>
      </c>
      <c r="B7" s="494"/>
      <c r="C7" s="445"/>
      <c r="D7" s="506" t="s">
        <v>308</v>
      </c>
      <c r="E7" s="507" t="s">
        <v>309</v>
      </c>
      <c r="F7" s="508" t="s">
        <v>310</v>
      </c>
      <c r="G7" s="506" t="s">
        <v>315</v>
      </c>
      <c r="H7" s="507" t="s">
        <v>316</v>
      </c>
      <c r="I7" s="508" t="s">
        <v>310</v>
      </c>
      <c r="J7" s="506" t="s">
        <v>315</v>
      </c>
      <c r="K7" s="507" t="s">
        <v>316</v>
      </c>
      <c r="L7" s="508" t="s">
        <v>310</v>
      </c>
      <c r="M7" s="506" t="s">
        <v>315</v>
      </c>
      <c r="N7" s="507" t="s">
        <v>316</v>
      </c>
      <c r="O7" s="508" t="s">
        <v>310</v>
      </c>
      <c r="P7" s="506" t="s">
        <v>315</v>
      </c>
      <c r="Q7" s="507" t="s">
        <v>316</v>
      </c>
      <c r="R7" s="508" t="s">
        <v>310</v>
      </c>
    </row>
    <row r="8" spans="1:18" x14ac:dyDescent="0.2">
      <c r="A8" s="495"/>
      <c r="B8" s="496"/>
      <c r="C8" t="s">
        <v>301</v>
      </c>
      <c r="D8" s="454">
        <v>0.25</v>
      </c>
      <c r="E8" s="455">
        <v>0.91666666666666663</v>
      </c>
      <c r="F8" s="456" t="str">
        <f>TEXT(E8-D8,"h")</f>
        <v>16</v>
      </c>
      <c r="G8" s="463">
        <v>0.25</v>
      </c>
      <c r="H8" s="464">
        <v>0.5</v>
      </c>
      <c r="I8" s="465" t="str">
        <f>TEXT(H8-G8,"h")</f>
        <v>6</v>
      </c>
      <c r="J8" s="471">
        <v>0.5</v>
      </c>
      <c r="K8" s="472">
        <v>0.66666666666666663</v>
      </c>
      <c r="L8" s="473" t="str">
        <f>TEXT(K8-J8,"h")</f>
        <v>4</v>
      </c>
      <c r="M8" s="480">
        <v>0.66666666666666663</v>
      </c>
      <c r="N8" s="481">
        <v>0.91666666666666663</v>
      </c>
      <c r="O8" s="482" t="str">
        <f>TEXT(N8-M8,"h")</f>
        <v>6</v>
      </c>
      <c r="P8" s="488"/>
      <c r="Q8" s="489"/>
      <c r="R8" s="465"/>
    </row>
    <row r="9" spans="1:18" x14ac:dyDescent="0.2">
      <c r="A9" s="495"/>
      <c r="B9" s="496"/>
      <c r="C9" t="s">
        <v>302</v>
      </c>
      <c r="D9" s="457">
        <v>0.25</v>
      </c>
      <c r="E9" s="448">
        <v>0.91666666666666663</v>
      </c>
      <c r="F9" s="458" t="str">
        <f t="shared" ref="F9:F14" si="0">TEXT(E9-D9,"h")</f>
        <v>16</v>
      </c>
      <c r="G9" s="466">
        <v>0.25</v>
      </c>
      <c r="H9" s="449">
        <v>0.5</v>
      </c>
      <c r="I9" s="467" t="str">
        <f t="shared" ref="I9:I14" si="1">TEXT(H9-G9,"h")</f>
        <v>6</v>
      </c>
      <c r="J9" s="474">
        <v>0.5</v>
      </c>
      <c r="K9" s="451">
        <v>0.66666666666666663</v>
      </c>
      <c r="L9" s="475" t="str">
        <f t="shared" ref="L9:L12" si="2">TEXT(K9-J9,"h")</f>
        <v>4</v>
      </c>
      <c r="M9" s="483">
        <v>0.66666666666666663</v>
      </c>
      <c r="N9" s="453">
        <v>0.91666666666666663</v>
      </c>
      <c r="O9" s="484" t="str">
        <f t="shared" ref="O9:O12" si="3">TEXT(N9-M9,"h")</f>
        <v>6</v>
      </c>
      <c r="P9" s="490"/>
      <c r="Q9" s="450"/>
      <c r="R9" s="467"/>
    </row>
    <row r="10" spans="1:18" x14ac:dyDescent="0.2">
      <c r="A10" s="495"/>
      <c r="B10" s="496"/>
      <c r="C10" t="s">
        <v>303</v>
      </c>
      <c r="D10" s="457">
        <v>0.25</v>
      </c>
      <c r="E10" s="448">
        <v>0.91666666666666663</v>
      </c>
      <c r="F10" s="458" t="str">
        <f t="shared" si="0"/>
        <v>16</v>
      </c>
      <c r="G10" s="466">
        <v>0.25</v>
      </c>
      <c r="H10" s="449">
        <v>0.5</v>
      </c>
      <c r="I10" s="467" t="str">
        <f t="shared" si="1"/>
        <v>6</v>
      </c>
      <c r="J10" s="474">
        <v>0.5</v>
      </c>
      <c r="K10" s="451">
        <v>0.66666666666666663</v>
      </c>
      <c r="L10" s="475" t="str">
        <f t="shared" si="2"/>
        <v>4</v>
      </c>
      <c r="M10" s="483">
        <v>0.66666666666666663</v>
      </c>
      <c r="N10" s="453">
        <v>0.91666666666666663</v>
      </c>
      <c r="O10" s="484" t="str">
        <f t="shared" si="3"/>
        <v>6</v>
      </c>
      <c r="P10" s="490"/>
      <c r="Q10" s="450"/>
      <c r="R10" s="467"/>
    </row>
    <row r="11" spans="1:18" x14ac:dyDescent="0.2">
      <c r="A11" s="495"/>
      <c r="B11" s="496"/>
      <c r="C11" t="s">
        <v>304</v>
      </c>
      <c r="D11" s="457">
        <v>0.25</v>
      </c>
      <c r="E11" s="448">
        <v>0.91666666666666663</v>
      </c>
      <c r="F11" s="458" t="str">
        <f t="shared" si="0"/>
        <v>16</v>
      </c>
      <c r="G11" s="466">
        <v>0.25</v>
      </c>
      <c r="H11" s="449">
        <v>0.5</v>
      </c>
      <c r="I11" s="467" t="str">
        <f t="shared" si="1"/>
        <v>6</v>
      </c>
      <c r="J11" s="474">
        <v>0.5</v>
      </c>
      <c r="K11" s="451">
        <v>0.66666666666666663</v>
      </c>
      <c r="L11" s="475" t="str">
        <f t="shared" si="2"/>
        <v>4</v>
      </c>
      <c r="M11" s="483">
        <v>0.66666666666666663</v>
      </c>
      <c r="N11" s="453">
        <v>0.91666666666666663</v>
      </c>
      <c r="O11" s="484" t="str">
        <f t="shared" si="3"/>
        <v>6</v>
      </c>
      <c r="P11" s="490"/>
      <c r="Q11" s="450"/>
      <c r="R11" s="467"/>
    </row>
    <row r="12" spans="1:18" x14ac:dyDescent="0.2">
      <c r="A12" s="495"/>
      <c r="B12" s="496"/>
      <c r="C12" t="s">
        <v>305</v>
      </c>
      <c r="D12" s="457">
        <v>0.25</v>
      </c>
      <c r="E12" s="448">
        <v>0.91666666666666663</v>
      </c>
      <c r="F12" s="459">
        <v>18</v>
      </c>
      <c r="G12" s="466">
        <v>0.25</v>
      </c>
      <c r="H12" s="449">
        <v>0.5</v>
      </c>
      <c r="I12" s="467" t="str">
        <f t="shared" si="1"/>
        <v>6</v>
      </c>
      <c r="J12" s="474">
        <v>0.5</v>
      </c>
      <c r="K12" s="451">
        <v>0.66666666666666663</v>
      </c>
      <c r="L12" s="475" t="str">
        <f t="shared" si="2"/>
        <v>4</v>
      </c>
      <c r="M12" s="483">
        <v>0.66666666666666663</v>
      </c>
      <c r="N12" s="453">
        <v>0.91666666666666663</v>
      </c>
      <c r="O12" s="484" t="str">
        <f t="shared" si="3"/>
        <v>6</v>
      </c>
      <c r="P12" s="490"/>
      <c r="Q12" s="450"/>
      <c r="R12" s="467"/>
    </row>
    <row r="13" spans="1:18" x14ac:dyDescent="0.2">
      <c r="A13" s="495"/>
      <c r="B13" s="496"/>
      <c r="C13" t="s">
        <v>306</v>
      </c>
      <c r="D13" s="457">
        <v>0.25</v>
      </c>
      <c r="E13" s="448">
        <v>0.91666666666666663</v>
      </c>
      <c r="F13" s="459">
        <v>18</v>
      </c>
      <c r="G13" s="466">
        <v>0.25</v>
      </c>
      <c r="H13" s="449">
        <v>0.375</v>
      </c>
      <c r="I13" s="467" t="str">
        <f t="shared" si="1"/>
        <v>3</v>
      </c>
      <c r="J13" s="476"/>
      <c r="K13" s="452"/>
      <c r="L13" s="475"/>
      <c r="M13" s="483">
        <v>0.375</v>
      </c>
      <c r="N13" s="453">
        <v>0.66666666666666663</v>
      </c>
      <c r="O13" s="484" t="str">
        <f>TEXT(N13-M13,"h")</f>
        <v>7</v>
      </c>
      <c r="P13" s="466">
        <v>0.66666666666666663</v>
      </c>
      <c r="Q13" s="449">
        <v>0.91666666666666663</v>
      </c>
      <c r="R13" s="467" t="str">
        <f>TEXT(Q13-P13,"h")</f>
        <v>6</v>
      </c>
    </row>
    <row r="14" spans="1:18" ht="17" thickBot="1" x14ac:dyDescent="0.25">
      <c r="A14" s="497"/>
      <c r="B14" s="498"/>
      <c r="C14" t="s">
        <v>307</v>
      </c>
      <c r="D14" s="460">
        <v>0.41666666666666669</v>
      </c>
      <c r="E14" s="461">
        <v>0.83333333333333337</v>
      </c>
      <c r="F14" s="462" t="str">
        <f t="shared" si="0"/>
        <v>10</v>
      </c>
      <c r="G14" s="468">
        <v>0.41666666666666669</v>
      </c>
      <c r="H14" s="469">
        <v>0.83333333333333337</v>
      </c>
      <c r="I14" s="470" t="str">
        <f t="shared" si="1"/>
        <v>10</v>
      </c>
      <c r="J14" s="477"/>
      <c r="K14" s="478"/>
      <c r="L14" s="479"/>
      <c r="M14" s="485"/>
      <c r="N14" s="486"/>
      <c r="O14" s="487"/>
      <c r="P14" s="491"/>
      <c r="Q14" s="492"/>
      <c r="R14" s="470"/>
    </row>
    <row r="16" spans="1:18" x14ac:dyDescent="0.2">
      <c r="A16" s="493" t="s">
        <v>322</v>
      </c>
      <c r="B16" s="494"/>
      <c r="C16" s="519" t="s">
        <v>323</v>
      </c>
      <c r="D16" s="518">
        <v>32962</v>
      </c>
      <c r="E16" s="432"/>
      <c r="F16" s="523" t="s">
        <v>326</v>
      </c>
      <c r="G16" s="520" t="s">
        <v>327</v>
      </c>
      <c r="H16" s="520" t="s">
        <v>328</v>
      </c>
      <c r="I16" s="520" t="s">
        <v>56</v>
      </c>
      <c r="J16" s="519" t="s">
        <v>330</v>
      </c>
      <c r="K16" s="528" t="s">
        <v>331</v>
      </c>
    </row>
    <row r="17" spans="1:18" x14ac:dyDescent="0.2">
      <c r="A17" s="495"/>
      <c r="B17" s="496"/>
      <c r="C17" s="519"/>
      <c r="D17" s="432"/>
      <c r="E17" s="432"/>
      <c r="F17" s="523"/>
      <c r="G17" s="521">
        <v>24</v>
      </c>
      <c r="H17" s="522">
        <f>G17*D16</f>
        <v>791088</v>
      </c>
      <c r="I17" s="522">
        <f>H17/12</f>
        <v>65924</v>
      </c>
      <c r="J17" s="519"/>
      <c r="K17" s="528"/>
    </row>
    <row r="18" spans="1:18" x14ac:dyDescent="0.2">
      <c r="A18" s="495"/>
      <c r="B18" s="496"/>
      <c r="C18" s="519" t="s">
        <v>225</v>
      </c>
      <c r="D18" s="8" t="s">
        <v>324</v>
      </c>
      <c r="E18" s="8" t="s">
        <v>325</v>
      </c>
      <c r="F18" s="527" t="s">
        <v>329</v>
      </c>
    </row>
    <row r="19" spans="1:18" x14ac:dyDescent="0.2">
      <c r="A19" s="495"/>
      <c r="B19" s="496"/>
      <c r="C19" s="519"/>
      <c r="D19" s="432">
        <v>6</v>
      </c>
      <c r="E19" s="432">
        <v>2</v>
      </c>
      <c r="F19" s="527"/>
      <c r="G19" s="525" t="s">
        <v>327</v>
      </c>
      <c r="H19" s="520" t="s">
        <v>328</v>
      </c>
      <c r="I19" s="520" t="s">
        <v>56</v>
      </c>
    </row>
    <row r="20" spans="1:18" x14ac:dyDescent="0.2">
      <c r="A20" s="497"/>
      <c r="B20" s="498"/>
      <c r="C20" s="519"/>
      <c r="D20" s="432"/>
      <c r="E20" s="432"/>
      <c r="F20" s="527"/>
      <c r="G20" s="526">
        <v>7</v>
      </c>
      <c r="H20" s="524">
        <f>G20*D16</f>
        <v>230734</v>
      </c>
      <c r="I20" s="524">
        <f>H20/12</f>
        <v>19227.833333333332</v>
      </c>
    </row>
    <row r="22" spans="1:18" x14ac:dyDescent="0.2">
      <c r="A22" s="493" t="s">
        <v>318</v>
      </c>
      <c r="B22" s="494"/>
      <c r="C22" s="509" t="s">
        <v>319</v>
      </c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1"/>
    </row>
    <row r="23" spans="1:18" x14ac:dyDescent="0.2">
      <c r="A23" s="495"/>
      <c r="B23" s="496"/>
      <c r="C23" s="512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4"/>
    </row>
    <row r="24" spans="1:18" x14ac:dyDescent="0.2">
      <c r="A24" s="495"/>
      <c r="B24" s="496"/>
      <c r="C24" s="515" t="s">
        <v>312</v>
      </c>
      <c r="D24" s="515"/>
      <c r="E24" s="529" t="s">
        <v>332</v>
      </c>
      <c r="F24" s="531"/>
      <c r="G24" s="529" t="s">
        <v>208</v>
      </c>
      <c r="H24" s="531"/>
      <c r="I24" s="529" t="s">
        <v>333</v>
      </c>
      <c r="J24" s="531"/>
      <c r="K24" s="529" t="s">
        <v>334</v>
      </c>
      <c r="L24" s="531"/>
    </row>
    <row r="25" spans="1:18" x14ac:dyDescent="0.2">
      <c r="A25" s="495"/>
      <c r="B25" s="496"/>
      <c r="C25" s="515"/>
      <c r="D25" s="515"/>
      <c r="E25" s="530">
        <v>100</v>
      </c>
      <c r="F25" s="532"/>
      <c r="G25" s="533">
        <v>100</v>
      </c>
      <c r="H25" s="534"/>
      <c r="I25" s="530">
        <f>G25*E25</f>
        <v>10000</v>
      </c>
      <c r="J25" s="534"/>
      <c r="K25" s="530">
        <f>I25*12</f>
        <v>120000</v>
      </c>
      <c r="L25" s="534"/>
    </row>
    <row r="26" spans="1:18" x14ac:dyDescent="0.2">
      <c r="A26" s="495"/>
      <c r="B26" s="496"/>
      <c r="C26" s="516" t="s">
        <v>320</v>
      </c>
      <c r="D26" s="516"/>
      <c r="E26" s="529" t="s">
        <v>332</v>
      </c>
      <c r="F26" s="531"/>
      <c r="G26" s="529" t="s">
        <v>208</v>
      </c>
      <c r="H26" s="531"/>
      <c r="I26" s="529" t="s">
        <v>333</v>
      </c>
      <c r="J26" s="531"/>
      <c r="K26" s="529" t="s">
        <v>334</v>
      </c>
      <c r="L26" s="531"/>
    </row>
    <row r="27" spans="1:18" x14ac:dyDescent="0.2">
      <c r="A27" s="495"/>
      <c r="B27" s="496"/>
      <c r="C27" s="516"/>
      <c r="D27" s="516"/>
      <c r="E27" s="530">
        <v>30</v>
      </c>
      <c r="F27" s="532"/>
      <c r="G27" s="533">
        <v>300</v>
      </c>
      <c r="H27" s="534"/>
      <c r="I27" s="530">
        <f>G27*E27</f>
        <v>9000</v>
      </c>
      <c r="J27" s="534"/>
      <c r="K27" s="530">
        <f>I27*12</f>
        <v>108000</v>
      </c>
      <c r="L27" s="534"/>
    </row>
    <row r="28" spans="1:18" x14ac:dyDescent="0.2">
      <c r="A28" s="495"/>
      <c r="B28" s="496"/>
      <c r="C28" s="517" t="s">
        <v>321</v>
      </c>
      <c r="D28" s="517"/>
      <c r="E28" s="529" t="s">
        <v>332</v>
      </c>
      <c r="F28" s="531"/>
      <c r="G28" s="529" t="s">
        <v>208</v>
      </c>
      <c r="H28" s="531"/>
      <c r="I28" s="529" t="s">
        <v>333</v>
      </c>
      <c r="J28" s="531"/>
      <c r="K28" s="529" t="s">
        <v>334</v>
      </c>
      <c r="L28" s="531"/>
    </row>
    <row r="29" spans="1:18" x14ac:dyDescent="0.2">
      <c r="A29" s="497"/>
      <c r="B29" s="498"/>
      <c r="C29" s="517"/>
      <c r="D29" s="517"/>
      <c r="E29" s="530">
        <v>150</v>
      </c>
      <c r="F29" s="532"/>
      <c r="G29" s="533">
        <v>50</v>
      </c>
      <c r="H29" s="534"/>
      <c r="I29" s="530">
        <f>G29*E29</f>
        <v>7500</v>
      </c>
      <c r="J29" s="534"/>
      <c r="K29" s="530">
        <f>I29*12</f>
        <v>90000</v>
      </c>
      <c r="L29" s="534"/>
    </row>
  </sheetData>
  <mergeCells count="46">
    <mergeCell ref="I27:J27"/>
    <mergeCell ref="I28:J28"/>
    <mergeCell ref="I29:J29"/>
    <mergeCell ref="K24:L24"/>
    <mergeCell ref="K25:L25"/>
    <mergeCell ref="K26:L26"/>
    <mergeCell ref="K27:L27"/>
    <mergeCell ref="K28:L28"/>
    <mergeCell ref="K29:L29"/>
    <mergeCell ref="E29:F29"/>
    <mergeCell ref="G24:H24"/>
    <mergeCell ref="G25:H25"/>
    <mergeCell ref="G26:H26"/>
    <mergeCell ref="G27:H27"/>
    <mergeCell ref="G28:H28"/>
    <mergeCell ref="G29:H29"/>
    <mergeCell ref="J16:J17"/>
    <mergeCell ref="K16:K17"/>
    <mergeCell ref="E24:F24"/>
    <mergeCell ref="E26:F26"/>
    <mergeCell ref="E28:F28"/>
    <mergeCell ref="E25:F25"/>
    <mergeCell ref="E27:F27"/>
    <mergeCell ref="I24:J24"/>
    <mergeCell ref="I25:J25"/>
    <mergeCell ref="I26:J26"/>
    <mergeCell ref="C16:C17"/>
    <mergeCell ref="C18:C20"/>
    <mergeCell ref="D16:E17"/>
    <mergeCell ref="D19:D20"/>
    <mergeCell ref="E19:E20"/>
    <mergeCell ref="F16:F17"/>
    <mergeCell ref="F18:F20"/>
    <mergeCell ref="M6:O6"/>
    <mergeCell ref="A1:O5"/>
    <mergeCell ref="D6:F6"/>
    <mergeCell ref="P6:R6"/>
    <mergeCell ref="A22:B29"/>
    <mergeCell ref="C22:R23"/>
    <mergeCell ref="C24:D25"/>
    <mergeCell ref="C26:D27"/>
    <mergeCell ref="C28:D29"/>
    <mergeCell ref="A16:B20"/>
    <mergeCell ref="A7:B14"/>
    <mergeCell ref="G6:I6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Moderate Projections</vt:lpstr>
      <vt:lpstr>Summary</vt:lpstr>
      <vt:lpstr>Phase 1</vt:lpstr>
      <vt:lpstr>Phase 1 Summary</vt:lpstr>
      <vt:lpstr># of Members</vt:lpstr>
      <vt:lpstr>Space</vt:lpstr>
      <vt:lpstr>Revenue</vt:lpstr>
      <vt:lpstr>Jambore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 amador</dc:creator>
  <cp:lastModifiedBy>elliott amador</cp:lastModifiedBy>
  <dcterms:created xsi:type="dcterms:W3CDTF">2023-11-03T20:29:10Z</dcterms:created>
  <dcterms:modified xsi:type="dcterms:W3CDTF">2024-01-25T20:31:14Z</dcterms:modified>
</cp:coreProperties>
</file>